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40" windowHeight="11160"/>
  </bookViews>
  <sheets>
    <sheet name="Меню на 11-18 лет" sheetId="5" r:id="rId1"/>
  </sheets>
  <definedNames>
    <definedName name="_xlnm.Print_Area" localSheetId="0">'Меню на 11-18 лет'!$A$1:$N$167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7" i="5"/>
  <c r="N144"/>
  <c r="M144"/>
  <c r="L144"/>
  <c r="K144"/>
  <c r="H144"/>
  <c r="G144"/>
  <c r="F144"/>
  <c r="E144"/>
  <c r="D144"/>
  <c r="G48"/>
  <c r="E26"/>
  <c r="F26"/>
  <c r="G26"/>
  <c r="H26"/>
  <c r="D26"/>
  <c r="N160" l="1"/>
  <c r="M160"/>
  <c r="L160"/>
  <c r="K160"/>
  <c r="I160"/>
  <c r="H160"/>
  <c r="G160"/>
  <c r="F160"/>
  <c r="E160"/>
  <c r="D160"/>
  <c r="N151"/>
  <c r="M151"/>
  <c r="L151"/>
  <c r="K151"/>
  <c r="J151"/>
  <c r="H151"/>
  <c r="G151"/>
  <c r="F151"/>
  <c r="E151"/>
  <c r="D151"/>
  <c r="N149"/>
  <c r="M149"/>
  <c r="L149"/>
  <c r="K149"/>
  <c r="J149"/>
  <c r="I149"/>
  <c r="H149"/>
  <c r="G149"/>
  <c r="F149"/>
  <c r="E149"/>
  <c r="D149"/>
  <c r="N140"/>
  <c r="M140"/>
  <c r="L140"/>
  <c r="K140"/>
  <c r="I140"/>
  <c r="H140"/>
  <c r="G140"/>
  <c r="F140"/>
  <c r="E140"/>
  <c r="D140"/>
  <c r="N139"/>
  <c r="M139"/>
  <c r="L139"/>
  <c r="K139"/>
  <c r="J139"/>
  <c r="I139"/>
  <c r="H139"/>
  <c r="G139"/>
  <c r="F139"/>
  <c r="E139"/>
  <c r="D139"/>
  <c r="N129"/>
  <c r="M129"/>
  <c r="L129"/>
  <c r="K129"/>
  <c r="J129"/>
  <c r="H129"/>
  <c r="G129"/>
  <c r="F129"/>
  <c r="E129"/>
  <c r="D129"/>
  <c r="N128"/>
  <c r="M128"/>
  <c r="L128"/>
  <c r="K128"/>
  <c r="I128"/>
  <c r="H128"/>
  <c r="N118"/>
  <c r="M118"/>
  <c r="L118"/>
  <c r="K118"/>
  <c r="J118"/>
  <c r="I118"/>
  <c r="H118"/>
  <c r="G118"/>
  <c r="F118"/>
  <c r="E118"/>
  <c r="D118"/>
  <c r="N117"/>
  <c r="M117"/>
  <c r="L117"/>
  <c r="K117"/>
  <c r="J117"/>
  <c r="I117"/>
  <c r="H117"/>
  <c r="G117"/>
  <c r="F117"/>
  <c r="E117"/>
  <c r="D117"/>
  <c r="N108"/>
  <c r="M108"/>
  <c r="L108"/>
  <c r="K108"/>
  <c r="I108"/>
  <c r="H108"/>
  <c r="G108"/>
  <c r="F108"/>
  <c r="E108"/>
  <c r="D108"/>
  <c r="N97"/>
  <c r="M97"/>
  <c r="L97"/>
  <c r="K97"/>
  <c r="J97"/>
  <c r="H97"/>
  <c r="G97"/>
  <c r="F97"/>
  <c r="E97"/>
  <c r="D97"/>
  <c r="N95"/>
  <c r="M95"/>
  <c r="L95"/>
  <c r="K95"/>
  <c r="I95"/>
  <c r="H95"/>
  <c r="G95"/>
  <c r="F95"/>
  <c r="E95"/>
  <c r="D95"/>
  <c r="N87"/>
  <c r="M87"/>
  <c r="L87"/>
  <c r="K87"/>
  <c r="J87"/>
  <c r="H87"/>
  <c r="G87"/>
  <c r="F87"/>
  <c r="E87"/>
  <c r="D87"/>
  <c r="D85"/>
  <c r="N85"/>
  <c r="M85"/>
  <c r="L85"/>
  <c r="K85"/>
  <c r="J85"/>
  <c r="I85"/>
  <c r="H85"/>
  <c r="G85"/>
  <c r="F85"/>
  <c r="E85"/>
  <c r="D74"/>
  <c r="N65"/>
  <c r="M65"/>
  <c r="L65"/>
  <c r="K65"/>
  <c r="J65"/>
  <c r="H65"/>
  <c r="G65"/>
  <c r="F65"/>
  <c r="E65"/>
  <c r="D65"/>
  <c r="N63"/>
  <c r="M63"/>
  <c r="L63"/>
  <c r="K63"/>
  <c r="J63"/>
  <c r="I63"/>
  <c r="H63"/>
  <c r="G63"/>
  <c r="F63"/>
  <c r="E63"/>
  <c r="D63"/>
  <c r="J56"/>
  <c r="I56"/>
  <c r="H55"/>
  <c r="N44"/>
  <c r="M44"/>
  <c r="L44"/>
  <c r="K44"/>
  <c r="J44"/>
  <c r="H44"/>
  <c r="G44"/>
  <c r="F44"/>
  <c r="E44"/>
  <c r="D44"/>
  <c r="N41" l="1"/>
  <c r="M41"/>
  <c r="L41"/>
  <c r="K41"/>
  <c r="I41"/>
  <c r="H41"/>
  <c r="L30"/>
  <c r="N30"/>
  <c r="M30"/>
  <c r="K30"/>
  <c r="J30"/>
  <c r="I30"/>
  <c r="H30"/>
  <c r="G30"/>
  <c r="F30"/>
  <c r="E30"/>
  <c r="D30"/>
  <c r="N19"/>
  <c r="M19"/>
  <c r="L19"/>
  <c r="K19"/>
  <c r="J19"/>
  <c r="H19"/>
  <c r="G19"/>
  <c r="F19"/>
  <c r="E19"/>
  <c r="D19"/>
  <c r="N17"/>
  <c r="M17"/>
  <c r="L17"/>
  <c r="K17"/>
  <c r="I17"/>
  <c r="H17"/>
  <c r="G17"/>
  <c r="F17"/>
  <c r="E17"/>
  <c r="D17"/>
  <c r="N163"/>
  <c r="M163"/>
  <c r="L163"/>
  <c r="K163"/>
  <c r="H163"/>
  <c r="G163"/>
  <c r="F163"/>
  <c r="E163"/>
  <c r="D163"/>
  <c r="N152"/>
  <c r="M152"/>
  <c r="L152"/>
  <c r="K152"/>
  <c r="H152"/>
  <c r="G152"/>
  <c r="F152"/>
  <c r="E152"/>
  <c r="D152"/>
  <c r="N141"/>
  <c r="M141"/>
  <c r="L141"/>
  <c r="K141"/>
  <c r="H141"/>
  <c r="G141"/>
  <c r="F141"/>
  <c r="E141"/>
  <c r="D141"/>
  <c r="N131"/>
  <c r="M131"/>
  <c r="L131"/>
  <c r="K131"/>
  <c r="H131"/>
  <c r="G131"/>
  <c r="F131"/>
  <c r="E131"/>
  <c r="D131"/>
  <c r="N121"/>
  <c r="M121"/>
  <c r="L121"/>
  <c r="K121"/>
  <c r="H121"/>
  <c r="G121"/>
  <c r="F121"/>
  <c r="E121"/>
  <c r="D121"/>
  <c r="N109"/>
  <c r="M109"/>
  <c r="L109"/>
  <c r="K109"/>
  <c r="H109"/>
  <c r="G109"/>
  <c r="F109"/>
  <c r="E109"/>
  <c r="D109"/>
  <c r="N99"/>
  <c r="M99"/>
  <c r="L99"/>
  <c r="K99"/>
  <c r="H99"/>
  <c r="G99"/>
  <c r="F99"/>
  <c r="E99"/>
  <c r="D99"/>
  <c r="N88"/>
  <c r="M88"/>
  <c r="L88"/>
  <c r="K88"/>
  <c r="H88"/>
  <c r="G88"/>
  <c r="F88"/>
  <c r="E88"/>
  <c r="D88"/>
  <c r="N78"/>
  <c r="M78"/>
  <c r="L78"/>
  <c r="K78"/>
  <c r="H78"/>
  <c r="G78"/>
  <c r="F78"/>
  <c r="E78"/>
  <c r="D78"/>
  <c r="N66"/>
  <c r="M66"/>
  <c r="L66"/>
  <c r="K66"/>
  <c r="H66"/>
  <c r="G66"/>
  <c r="F66"/>
  <c r="E66"/>
  <c r="D66"/>
  <c r="N57"/>
  <c r="M57"/>
  <c r="L57"/>
  <c r="K57"/>
  <c r="H57"/>
  <c r="G57"/>
  <c r="F57"/>
  <c r="E57"/>
  <c r="D57"/>
  <c r="N45"/>
  <c r="M45"/>
  <c r="L45"/>
  <c r="K45"/>
  <c r="H45"/>
  <c r="G45"/>
  <c r="F45"/>
  <c r="E45"/>
  <c r="D45"/>
  <c r="N33"/>
  <c r="M33"/>
  <c r="L33"/>
  <c r="K33"/>
  <c r="H33"/>
  <c r="G33"/>
  <c r="F33"/>
  <c r="E33"/>
  <c r="D33"/>
  <c r="N22"/>
  <c r="M22"/>
  <c r="L22"/>
  <c r="K22"/>
  <c r="H22"/>
  <c r="G22"/>
  <c r="F22"/>
  <c r="E22"/>
  <c r="D22"/>
  <c r="N10" l="1"/>
  <c r="M10"/>
  <c r="L10"/>
  <c r="L13" s="1"/>
  <c r="K10"/>
  <c r="K13" s="1"/>
  <c r="H10"/>
  <c r="G10"/>
  <c r="G13" s="1"/>
  <c r="F10"/>
  <c r="E10"/>
  <c r="D10"/>
  <c r="N7"/>
  <c r="M7"/>
  <c r="L7"/>
  <c r="K7"/>
  <c r="J7"/>
  <c r="J13" s="1"/>
  <c r="I7"/>
  <c r="H7"/>
  <c r="G7"/>
  <c r="F7"/>
  <c r="E7"/>
  <c r="D7"/>
  <c r="N162"/>
  <c r="M162"/>
  <c r="L162"/>
  <c r="K162"/>
  <c r="K167" s="1"/>
  <c r="J162"/>
  <c r="I162"/>
  <c r="H162"/>
  <c r="G162"/>
  <c r="F162"/>
  <c r="E162"/>
  <c r="D162"/>
  <c r="N161"/>
  <c r="M161"/>
  <c r="L161"/>
  <c r="K161"/>
  <c r="J161"/>
  <c r="J167" s="1"/>
  <c r="H161"/>
  <c r="G161"/>
  <c r="F161"/>
  <c r="E161"/>
  <c r="D161"/>
  <c r="N167"/>
  <c r="M167"/>
  <c r="L167"/>
  <c r="I167"/>
  <c r="H167"/>
  <c r="G167"/>
  <c r="F167"/>
  <c r="E167"/>
  <c r="N156"/>
  <c r="J156"/>
  <c r="N153"/>
  <c r="M153"/>
  <c r="L153"/>
  <c r="K153"/>
  <c r="J153"/>
  <c r="I153"/>
  <c r="H153"/>
  <c r="G153"/>
  <c r="F153"/>
  <c r="E153"/>
  <c r="D153"/>
  <c r="F156"/>
  <c r="M156"/>
  <c r="L156"/>
  <c r="K156"/>
  <c r="I156"/>
  <c r="H156"/>
  <c r="G156"/>
  <c r="E156"/>
  <c r="D156"/>
  <c r="J145"/>
  <c r="F145"/>
  <c r="N145"/>
  <c r="M145"/>
  <c r="L145"/>
  <c r="K145"/>
  <c r="I145"/>
  <c r="H145"/>
  <c r="G145"/>
  <c r="E145"/>
  <c r="D145"/>
  <c r="N130"/>
  <c r="M130"/>
  <c r="L130"/>
  <c r="L135" s="1"/>
  <c r="K130"/>
  <c r="J130"/>
  <c r="J135" s="1"/>
  <c r="I130"/>
  <c r="H130"/>
  <c r="H135" s="1"/>
  <c r="D135"/>
  <c r="N135"/>
  <c r="M135"/>
  <c r="K135"/>
  <c r="I135"/>
  <c r="G135"/>
  <c r="F135"/>
  <c r="E135"/>
  <c r="M124"/>
  <c r="I124"/>
  <c r="E124"/>
  <c r="N124"/>
  <c r="L124"/>
  <c r="K124"/>
  <c r="J124"/>
  <c r="H124"/>
  <c r="G124"/>
  <c r="F124"/>
  <c r="D124"/>
  <c r="N111"/>
  <c r="M111"/>
  <c r="L111"/>
  <c r="K111"/>
  <c r="H111"/>
  <c r="G111"/>
  <c r="F111"/>
  <c r="E111"/>
  <c r="D111"/>
  <c r="K113"/>
  <c r="G113"/>
  <c r="N107"/>
  <c r="M107"/>
  <c r="L107"/>
  <c r="K107"/>
  <c r="J107"/>
  <c r="I107"/>
  <c r="H107"/>
  <c r="G107"/>
  <c r="F107"/>
  <c r="E107"/>
  <c r="D107"/>
  <c r="N106"/>
  <c r="N113" s="1"/>
  <c r="M106"/>
  <c r="M113" s="1"/>
  <c r="L106"/>
  <c r="L113" s="1"/>
  <c r="K106"/>
  <c r="J106"/>
  <c r="J113" s="1"/>
  <c r="I106"/>
  <c r="I113" s="1"/>
  <c r="H106"/>
  <c r="H113" s="1"/>
  <c r="G106"/>
  <c r="F106"/>
  <c r="F113" s="1"/>
  <c r="E106"/>
  <c r="E113" s="1"/>
  <c r="D106"/>
  <c r="D113" s="1"/>
  <c r="H102"/>
  <c r="D102"/>
  <c r="N98"/>
  <c r="M98"/>
  <c r="L98"/>
  <c r="K98"/>
  <c r="I98"/>
  <c r="H98"/>
  <c r="G98"/>
  <c r="F98"/>
  <c r="E98"/>
  <c r="D98"/>
  <c r="N96"/>
  <c r="M96"/>
  <c r="L96"/>
  <c r="L102" s="1"/>
  <c r="K96"/>
  <c r="J96"/>
  <c r="J102" s="1"/>
  <c r="H96"/>
  <c r="G96"/>
  <c r="F96"/>
  <c r="E96"/>
  <c r="D96"/>
  <c r="N102"/>
  <c r="M102"/>
  <c r="K102"/>
  <c r="I102"/>
  <c r="G102"/>
  <c r="F102"/>
  <c r="E102"/>
  <c r="H91"/>
  <c r="D91"/>
  <c r="L91"/>
  <c r="N91"/>
  <c r="M91"/>
  <c r="K91"/>
  <c r="J91"/>
  <c r="I91"/>
  <c r="G91"/>
  <c r="F91"/>
  <c r="E91"/>
  <c r="N77"/>
  <c r="M77"/>
  <c r="L77"/>
  <c r="K77"/>
  <c r="J77"/>
  <c r="I77"/>
  <c r="I81" s="1"/>
  <c r="H77"/>
  <c r="G77"/>
  <c r="F77"/>
  <c r="E77"/>
  <c r="E81" s="1"/>
  <c r="D77"/>
  <c r="N75"/>
  <c r="M75"/>
  <c r="L75"/>
  <c r="K75"/>
  <c r="J75"/>
  <c r="J81" s="1"/>
  <c r="I75"/>
  <c r="H75"/>
  <c r="G75"/>
  <c r="F75"/>
  <c r="E75"/>
  <c r="D75"/>
  <c r="N81"/>
  <c r="M81"/>
  <c r="L81"/>
  <c r="K81"/>
  <c r="H81"/>
  <c r="G81"/>
  <c r="F81"/>
  <c r="D81"/>
  <c r="G70"/>
  <c r="N64"/>
  <c r="M64"/>
  <c r="L64"/>
  <c r="K64"/>
  <c r="K70" s="1"/>
  <c r="J64"/>
  <c r="H64"/>
  <c r="G64"/>
  <c r="F64"/>
  <c r="E64"/>
  <c r="D64"/>
  <c r="N70"/>
  <c r="M70"/>
  <c r="L70"/>
  <c r="J70"/>
  <c r="I70"/>
  <c r="H70"/>
  <c r="F70"/>
  <c r="E70"/>
  <c r="D70"/>
  <c r="N56"/>
  <c r="M56"/>
  <c r="L56"/>
  <c r="L59" s="1"/>
  <c r="K56"/>
  <c r="I59"/>
  <c r="H56"/>
  <c r="G56"/>
  <c r="F56"/>
  <c r="E56"/>
  <c r="D56"/>
  <c r="N54"/>
  <c r="M54"/>
  <c r="M59" s="1"/>
  <c r="L54"/>
  <c r="K54"/>
  <c r="K59" s="1"/>
  <c r="J54"/>
  <c r="J59" s="1"/>
  <c r="H54"/>
  <c r="H59" s="1"/>
  <c r="G54"/>
  <c r="F54"/>
  <c r="F59" s="1"/>
  <c r="E54"/>
  <c r="E59" s="1"/>
  <c r="D54"/>
  <c r="N53"/>
  <c r="N59" s="1"/>
  <c r="L53"/>
  <c r="G53"/>
  <c r="G59" s="1"/>
  <c r="D53"/>
  <c r="D59" s="1"/>
  <c r="K48"/>
  <c r="N43"/>
  <c r="M43"/>
  <c r="L43"/>
  <c r="K43"/>
  <c r="J43"/>
  <c r="J48" s="1"/>
  <c r="I43"/>
  <c r="H43"/>
  <c r="G43"/>
  <c r="F43"/>
  <c r="E43"/>
  <c r="D43"/>
  <c r="N48"/>
  <c r="M48"/>
  <c r="L48"/>
  <c r="I48"/>
  <c r="H48"/>
  <c r="F48"/>
  <c r="E48"/>
  <c r="D48"/>
  <c r="J37"/>
  <c r="F37"/>
  <c r="N32"/>
  <c r="N37" s="1"/>
  <c r="M32"/>
  <c r="M37" s="1"/>
  <c r="L32"/>
  <c r="K32"/>
  <c r="I32"/>
  <c r="H32"/>
  <c r="G32"/>
  <c r="F32"/>
  <c r="E32"/>
  <c r="D32"/>
  <c r="L37"/>
  <c r="K37"/>
  <c r="I37"/>
  <c r="H37"/>
  <c r="G37"/>
  <c r="E37"/>
  <c r="D37"/>
  <c r="J26"/>
  <c r="N21"/>
  <c r="M21"/>
  <c r="L21"/>
  <c r="K21"/>
  <c r="I21"/>
  <c r="H21"/>
  <c r="G21"/>
  <c r="F21"/>
  <c r="E21"/>
  <c r="D21"/>
  <c r="N20"/>
  <c r="M20"/>
  <c r="L20"/>
  <c r="K20"/>
  <c r="J20"/>
  <c r="I20"/>
  <c r="H20"/>
  <c r="G20"/>
  <c r="F20"/>
  <c r="E20"/>
  <c r="D20"/>
  <c r="N18"/>
  <c r="M18"/>
  <c r="L18"/>
  <c r="K18"/>
  <c r="J18"/>
  <c r="I18"/>
  <c r="H18"/>
  <c r="G18"/>
  <c r="F18"/>
  <c r="E18"/>
  <c r="D18"/>
  <c r="N26"/>
  <c r="M26"/>
  <c r="L26"/>
  <c r="K26"/>
  <c r="I26"/>
  <c r="H13"/>
  <c r="N12"/>
  <c r="M12"/>
  <c r="L12"/>
  <c r="K12"/>
  <c r="H12"/>
  <c r="G12"/>
  <c r="F12"/>
  <c r="E12"/>
  <c r="D12"/>
  <c r="N9"/>
  <c r="M9"/>
  <c r="L9"/>
  <c r="K9"/>
  <c r="J9"/>
  <c r="I9"/>
  <c r="H9"/>
  <c r="F9"/>
  <c r="E9"/>
  <c r="D9"/>
  <c r="N8"/>
  <c r="M8"/>
  <c r="L8"/>
  <c r="K8"/>
  <c r="J8"/>
  <c r="H8"/>
  <c r="G8"/>
  <c r="F8"/>
  <c r="E8"/>
  <c r="D8"/>
  <c r="M13"/>
  <c r="I13"/>
  <c r="E13"/>
  <c r="N13" l="1"/>
  <c r="F13"/>
  <c r="D13"/>
</calcChain>
</file>

<file path=xl/sharedStrings.xml><?xml version="1.0" encoding="utf-8"?>
<sst xmlns="http://schemas.openxmlformats.org/spreadsheetml/2006/main" count="178" uniqueCount="94">
  <si>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</si>
  <si>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</si>
  <si>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</si>
  <si>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</si>
  <si>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</si>
  <si>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</si>
  <si>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</si>
  <si>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</si>
  <si>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</si>
  <si>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</si>
  <si>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</si>
  <si>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</si>
  <si>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</si>
  <si>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Са</t>
  </si>
  <si>
    <t>Р</t>
  </si>
  <si>
    <t>Mg</t>
  </si>
  <si>
    <t>Fe</t>
  </si>
  <si>
    <t>Понедельник (первая неделя)</t>
  </si>
  <si>
    <t>ПР</t>
  </si>
  <si>
    <t>Макароны отварные</t>
  </si>
  <si>
    <t>Хлеб пшеничный</t>
  </si>
  <si>
    <t>ИТОГО</t>
  </si>
  <si>
    <t>Обед 7-11 лет</t>
  </si>
  <si>
    <t>Компот из сухофруктов</t>
  </si>
  <si>
    <t>Вторник (первая неделя)</t>
  </si>
  <si>
    <t>Среда (первая неделя)</t>
  </si>
  <si>
    <t>Рассольник ленинградский</t>
  </si>
  <si>
    <t>Четверг (первая неделя)</t>
  </si>
  <si>
    <t>Чай с лимоном</t>
  </si>
  <si>
    <t>Компот из кураги</t>
  </si>
  <si>
    <t>Пятница (первая неделя)</t>
  </si>
  <si>
    <t>Понедельник (вторая неделя)</t>
  </si>
  <si>
    <t>Вторник (вторая неделя)</t>
  </si>
  <si>
    <t>Среда (вторая неделя)</t>
  </si>
  <si>
    <t>Четверг (вторая неделя)</t>
  </si>
  <si>
    <t>Гуляш из говядины</t>
  </si>
  <si>
    <t>Пятница (вторая неделя)</t>
  </si>
  <si>
    <t>Напиток клюквенный</t>
  </si>
  <si>
    <t>Сок фруктовый</t>
  </si>
  <si>
    <t>Булочка</t>
  </si>
  <si>
    <t>Суп крестьянский с крупой</t>
  </si>
  <si>
    <t>Картофельное пюре</t>
  </si>
  <si>
    <t>Соус томатный</t>
  </si>
  <si>
    <t>Солянка сборная мясная</t>
  </si>
  <si>
    <t>Компот из фруктов</t>
  </si>
  <si>
    <t>Понедельник (третья неделя)</t>
  </si>
  <si>
    <t>Среда (третья неделя)</t>
  </si>
  <si>
    <t>Четверг (третья неделя)</t>
  </si>
  <si>
    <t>Пятница (третья неделя)</t>
  </si>
  <si>
    <t>Винегрет овощной</t>
  </si>
  <si>
    <t>Яйцо отварное</t>
  </si>
  <si>
    <t>Рис припущенный</t>
  </si>
  <si>
    <t>Жаркое по-домашнему</t>
  </si>
  <si>
    <t>Суп с рыбными консеврами</t>
  </si>
  <si>
    <t>Колбаса отварная</t>
  </si>
  <si>
    <t>Каша яневая вязкая</t>
  </si>
  <si>
    <t>200/7</t>
  </si>
  <si>
    <t>576/75</t>
  </si>
  <si>
    <t>Батон с сыром</t>
  </si>
  <si>
    <t>100/20</t>
  </si>
  <si>
    <t>Кура отварная (голень)</t>
  </si>
  <si>
    <t>Соус молочный</t>
  </si>
  <si>
    <t>Салат из свёклы с соленым огурцом</t>
  </si>
  <si>
    <t>Компот из фруктов и ягод</t>
  </si>
  <si>
    <t>Фрукт</t>
  </si>
  <si>
    <t>Суп с зелёным горошком</t>
  </si>
  <si>
    <t>Плов из отварной птицы</t>
  </si>
  <si>
    <t>Овощи свежие</t>
  </si>
  <si>
    <t xml:space="preserve">Кисель </t>
  </si>
  <si>
    <t>Голубцы ленивые</t>
  </si>
  <si>
    <t>Каша гречневая расспчатая</t>
  </si>
  <si>
    <t>Котлета рыбная</t>
  </si>
  <si>
    <t>Соус сметанный с  томатом</t>
  </si>
  <si>
    <t>Суп с макаронными изделиями и картофелем</t>
  </si>
  <si>
    <t>Котлета полуфабрикат мясная</t>
  </si>
  <si>
    <t>Печенье</t>
  </si>
  <si>
    <t>Борщ из свежей кпусты с картофелем</t>
  </si>
  <si>
    <t>Каша перловая рассыпчатая</t>
  </si>
  <si>
    <t>Щи из свежей капусты и картофеля</t>
  </si>
  <si>
    <t>Тефтели из говядины (ёжики)</t>
  </si>
  <si>
    <t>Пюре из гороха</t>
  </si>
  <si>
    <t>Рыба, тушенная в сметанном соусе</t>
  </si>
  <si>
    <t>Салат из свежих помидор и огурцов</t>
  </si>
  <si>
    <t xml:space="preserve">Чай </t>
  </si>
  <si>
    <t>Каша пшенная на молоке</t>
  </si>
  <si>
    <t>Котлета куринная полуфабрикат</t>
  </si>
  <si>
    <t>Кофейный напиток</t>
  </si>
  <si>
    <t>Птица в соусе с томатом</t>
  </si>
  <si>
    <t>Вторник (третья неделя)</t>
  </si>
  <si>
    <t>Суп картофельный с мясными фрикадельками</t>
  </si>
  <si>
    <t>Рассольник Домашний</t>
  </si>
  <si>
    <t>Котлета мясная</t>
  </si>
  <si>
    <t>Обед 11-18 лет</t>
  </si>
  <si>
    <t>Примерное меню питания школьников на 3 недели (обед)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</si>
</sst>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2" fontId="3" fillId="2" borderId="1" xfId="0" applyNumberFormat="1" applyFont="1" applyFill="1" applyBorder="1" applyAlignment="1"/>
    <xf numFmtId="1" fontId="2" fillId="2" borderId="1" xfId="0" applyNumberFormat="1" applyFont="1" applyFill="1" applyBorder="1" applyAlignment="1"/>
    <xf numFmtId="1" fontId="2" fillId="2" borderId="1" xfId="0" applyNumberFormat="1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0" xfId="0" applyFont="1" applyFill="1" applyAlignment="1"/>
    <xf numFmtId="0" fontId="0" fillId="2" borderId="0" xfId="0" applyFill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8"/>
  <sheetViews>
    <sheetView tabSelected="1" view="pageBreakPreview" zoomScale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5"/>
  <cols>
    <col min="1" max="1" width="9.140625" style="1"/>
    <col min="2" max="2" width="27.140625" style="1" customWidth="1"/>
    <col min="3" max="3" width="9.140625" style="1"/>
    <col min="4" max="4" width="10.5703125" style="1" bestFit="1" customWidth="1"/>
    <col min="5" max="6" width="9.140625" style="1"/>
    <col min="7" max="7" width="11.28515625" style="1" customWidth="1"/>
    <col min="8" max="13" width="0" style="1" hidden="1" customWidth="1"/>
    <col min="14" max="14" width="9.140625" style="1" hidden="1" customWidth="1"/>
    <col min="15" max="16384" width="9.140625" style="1"/>
  </cols>
  <sheetData>
    <row r="1" spans="1:14" ht="15.75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3">
      <c r="A2" s="18" t="s">
        <v>0</v>
      </c>
      <c r="B2" s="18" t="s">
        <v>1</v>
      </c>
      <c r="C2" s="18" t="s">
        <v>2</v>
      </c>
      <c r="D2" s="35" t="s">
        <v>3</v>
      </c>
      <c r="E2" s="35"/>
      <c r="F2" s="35"/>
      <c r="G2" s="18" t="s">
        <v>4</v>
      </c>
      <c r="H2" s="35" t="s">
        <v>5</v>
      </c>
      <c r="I2" s="35"/>
      <c r="J2" s="35"/>
      <c r="K2" s="35" t="s">
        <v>6</v>
      </c>
      <c r="L2" s="35"/>
      <c r="M2" s="35"/>
      <c r="N2" s="35"/>
    </row>
    <row r="3" spans="1:14" ht="15.75">
      <c r="A3" s="2"/>
      <c r="B3" s="2"/>
      <c r="C3" s="2"/>
      <c r="D3" s="2" t="s">
        <v>7</v>
      </c>
      <c r="E3" s="2" t="s">
        <v>8</v>
      </c>
      <c r="F3" s="2" t="s">
        <v>9</v>
      </c>
      <c r="G3" s="2"/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</row>
    <row r="4" spans="1:14" ht="15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</row>
    <row r="5" spans="1:14" ht="15.75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.75">
      <c r="A6" s="36" t="s">
        <v>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ht="31.5">
      <c r="A7" s="2">
        <v>122</v>
      </c>
      <c r="B7" s="3" t="s">
        <v>53</v>
      </c>
      <c r="C7" s="2">
        <v>250</v>
      </c>
      <c r="D7" s="4">
        <f>37.2*0.25</f>
        <v>9.3000000000000007</v>
      </c>
      <c r="E7" s="4">
        <f>45.36*0.25</f>
        <v>11.34</v>
      </c>
      <c r="F7" s="4">
        <f>40.2*0.25</f>
        <v>10.050000000000001</v>
      </c>
      <c r="G7" s="4">
        <f>720*0.25</f>
        <v>180</v>
      </c>
      <c r="H7" s="4">
        <f>0.3*0.25</f>
        <v>7.4999999999999997E-2</v>
      </c>
      <c r="I7" s="4">
        <f>23*0.25</f>
        <v>5.75</v>
      </c>
      <c r="J7" s="4">
        <f>60*0.25</f>
        <v>15</v>
      </c>
      <c r="K7" s="4">
        <f>122*0.25</f>
        <v>30.5</v>
      </c>
      <c r="L7" s="4">
        <f>586*0.25</f>
        <v>146.5</v>
      </c>
      <c r="M7" s="4">
        <f>129*0.25</f>
        <v>32.25</v>
      </c>
      <c r="N7" s="4">
        <f>4.07*0.25</f>
        <v>1.0175000000000001</v>
      </c>
    </row>
    <row r="8" spans="1:14" ht="15.75">
      <c r="A8" s="2">
        <v>77</v>
      </c>
      <c r="B8" s="3" t="s">
        <v>54</v>
      </c>
      <c r="C8" s="2">
        <v>70</v>
      </c>
      <c r="D8" s="4">
        <f>10.5*0.7</f>
        <v>7.35</v>
      </c>
      <c r="E8" s="4">
        <f>17.1*0.7</f>
        <v>11.97</v>
      </c>
      <c r="F8" s="4">
        <f>0.2*0.7</f>
        <v>0.13999999999999999</v>
      </c>
      <c r="G8" s="4">
        <f>197*0.7</f>
        <v>137.89999999999998</v>
      </c>
      <c r="H8" s="4">
        <f>0.14*0.7</f>
        <v>9.8000000000000004E-2</v>
      </c>
      <c r="I8" s="4">
        <v>0</v>
      </c>
      <c r="J8" s="4">
        <f>0.4*0.7</f>
        <v>0.27999999999999997</v>
      </c>
      <c r="K8" s="4">
        <f>32*0.7</f>
        <v>22.4</v>
      </c>
      <c r="L8" s="4">
        <f>118*0.7</f>
        <v>82.6</v>
      </c>
      <c r="M8" s="4">
        <f>16*0.7</f>
        <v>11.2</v>
      </c>
      <c r="N8" s="4">
        <f>1.36*0.7</f>
        <v>0.95199999999999996</v>
      </c>
    </row>
    <row r="9" spans="1:14" ht="15.75">
      <c r="A9" s="2">
        <v>227</v>
      </c>
      <c r="B9" s="3" t="s">
        <v>55</v>
      </c>
      <c r="C9" s="2">
        <v>205</v>
      </c>
      <c r="D9" s="4">
        <f>36.2/5</f>
        <v>7.24</v>
      </c>
      <c r="E9" s="4">
        <f>33.2/5</f>
        <v>6.6400000000000006</v>
      </c>
      <c r="F9" s="4">
        <f>165.6/5</f>
        <v>33.119999999999997</v>
      </c>
      <c r="G9" s="4">
        <v>221.2</v>
      </c>
      <c r="H9" s="4">
        <f>0.59/5</f>
        <v>0.11799999999999999</v>
      </c>
      <c r="I9" s="4">
        <f>6.3/5</f>
        <v>1.26</v>
      </c>
      <c r="J9" s="4">
        <f>193/5</f>
        <v>38.6</v>
      </c>
      <c r="K9" s="4">
        <f>772/5</f>
        <v>154.4</v>
      </c>
      <c r="L9" s="4">
        <f>1191/5</f>
        <v>238.2</v>
      </c>
      <c r="M9" s="4">
        <f>178/5</f>
        <v>35.6</v>
      </c>
      <c r="N9" s="4">
        <f>4.52/5</f>
        <v>0.90399999999999991</v>
      </c>
    </row>
    <row r="10" spans="1:14" ht="15.75">
      <c r="A10" s="2">
        <v>573</v>
      </c>
      <c r="B10" s="3" t="s">
        <v>20</v>
      </c>
      <c r="C10" s="2">
        <v>50</v>
      </c>
      <c r="D10" s="4">
        <f>7.6*0.5</f>
        <v>3.8</v>
      </c>
      <c r="E10" s="4">
        <f>0.8*0.5</f>
        <v>0.4</v>
      </c>
      <c r="F10" s="4">
        <f>49.2*0.5</f>
        <v>24.6</v>
      </c>
      <c r="G10" s="4">
        <f>234*0.5</f>
        <v>117</v>
      </c>
      <c r="H10" s="4">
        <f>0.11*0.5</f>
        <v>5.5E-2</v>
      </c>
      <c r="I10" s="4">
        <v>0</v>
      </c>
      <c r="J10" s="4">
        <v>0</v>
      </c>
      <c r="K10" s="4">
        <f>20*0.5</f>
        <v>10</v>
      </c>
      <c r="L10" s="4">
        <f>65*0.5</f>
        <v>32.5</v>
      </c>
      <c r="M10" s="4">
        <f>14*0.5</f>
        <v>7</v>
      </c>
      <c r="N10" s="4">
        <f>1.1*0.5</f>
        <v>0.55000000000000004</v>
      </c>
    </row>
    <row r="11" spans="1:14" ht="15.75">
      <c r="A11" s="5">
        <v>459</v>
      </c>
      <c r="B11" s="3" t="s">
        <v>28</v>
      </c>
      <c r="C11" s="2" t="s">
        <v>56</v>
      </c>
      <c r="D11" s="4">
        <v>0.3</v>
      </c>
      <c r="E11" s="4">
        <v>0.1</v>
      </c>
      <c r="F11" s="4">
        <v>9.5</v>
      </c>
      <c r="G11" s="4">
        <v>40</v>
      </c>
      <c r="H11" s="4">
        <v>0</v>
      </c>
      <c r="I11" s="4">
        <v>0</v>
      </c>
      <c r="J11" s="4">
        <v>1</v>
      </c>
      <c r="K11" s="4">
        <v>7.9</v>
      </c>
      <c r="L11" s="4">
        <v>9.1</v>
      </c>
      <c r="M11" s="4">
        <v>5</v>
      </c>
      <c r="N11" s="4">
        <v>0.87</v>
      </c>
    </row>
    <row r="12" spans="1:14" ht="15.75">
      <c r="A12" s="5" t="s">
        <v>57</v>
      </c>
      <c r="B12" s="3" t="s">
        <v>58</v>
      </c>
      <c r="C12" s="2" t="s">
        <v>59</v>
      </c>
      <c r="D12" s="4">
        <f>7.5+23.2/5</f>
        <v>12.14</v>
      </c>
      <c r="E12" s="4">
        <f>2.9+29.5/5</f>
        <v>8.8000000000000007</v>
      </c>
      <c r="F12" s="4">
        <f>51.4</f>
        <v>51.4</v>
      </c>
      <c r="G12" s="4">
        <f>261+358/5</f>
        <v>332.6</v>
      </c>
      <c r="H12" s="4">
        <f>0.11+0.4/5</f>
        <v>0.19</v>
      </c>
      <c r="I12" s="4">
        <v>0.7</v>
      </c>
      <c r="J12" s="4">
        <v>260</v>
      </c>
      <c r="K12" s="4">
        <f>19+881/5</f>
        <v>195.2</v>
      </c>
      <c r="L12" s="4">
        <f>65+500/5</f>
        <v>165</v>
      </c>
      <c r="M12" s="4">
        <f>13+35/5</f>
        <v>20</v>
      </c>
      <c r="N12" s="4">
        <f>1.2+1/5</f>
        <v>1.4</v>
      </c>
    </row>
    <row r="13" spans="1:14" ht="15.75">
      <c r="A13" s="2"/>
      <c r="B13" s="6" t="s">
        <v>21</v>
      </c>
      <c r="C13" s="7"/>
      <c r="D13" s="8">
        <f>D7+D8+D9+D10+D11+D12</f>
        <v>40.130000000000003</v>
      </c>
      <c r="E13" s="8">
        <f t="shared" ref="E13:N13" si="0">E7+E8+E9+E10+E11+E12</f>
        <v>39.25</v>
      </c>
      <c r="F13" s="8">
        <f t="shared" si="0"/>
        <v>128.81</v>
      </c>
      <c r="G13" s="8">
        <f t="shared" si="0"/>
        <v>1028.6999999999998</v>
      </c>
      <c r="H13" s="8">
        <f t="shared" si="0"/>
        <v>0.53600000000000003</v>
      </c>
      <c r="I13" s="8">
        <f t="shared" si="0"/>
        <v>7.71</v>
      </c>
      <c r="J13" s="8">
        <f t="shared" si="0"/>
        <v>314.88</v>
      </c>
      <c r="K13" s="8">
        <f t="shared" si="0"/>
        <v>420.4</v>
      </c>
      <c r="L13" s="8">
        <f t="shared" si="0"/>
        <v>673.9</v>
      </c>
      <c r="M13" s="8">
        <f t="shared" si="0"/>
        <v>111.05000000000001</v>
      </c>
      <c r="N13" s="8">
        <f t="shared" si="0"/>
        <v>5.6935000000000002</v>
      </c>
    </row>
    <row r="14" spans="1:14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.75">
      <c r="A15" s="36" t="s">
        <v>24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1:14" ht="15" customHeight="1">
      <c r="A16" s="36" t="s">
        <v>92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31.5">
      <c r="A17" s="2">
        <v>100</v>
      </c>
      <c r="B17" s="3" t="s">
        <v>26</v>
      </c>
      <c r="C17" s="2">
        <v>250</v>
      </c>
      <c r="D17" s="2">
        <f>10.5/4</f>
        <v>2.625</v>
      </c>
      <c r="E17" s="2">
        <f>20.4/4</f>
        <v>5.0999999999999996</v>
      </c>
      <c r="F17" s="2">
        <f>53/4</f>
        <v>13.25</v>
      </c>
      <c r="G17" s="2">
        <f>438/4</f>
        <v>109.5</v>
      </c>
      <c r="H17" s="2">
        <f>0.36/4</f>
        <v>0.09</v>
      </c>
      <c r="I17" s="2">
        <f>28.4/4</f>
        <v>7.1</v>
      </c>
      <c r="J17" s="2">
        <v>0</v>
      </c>
      <c r="K17" s="2">
        <f>67/4</f>
        <v>16.75</v>
      </c>
      <c r="L17" s="2">
        <f>244/4</f>
        <v>61</v>
      </c>
      <c r="M17" s="2">
        <f>102/4</f>
        <v>25.5</v>
      </c>
      <c r="N17" s="2">
        <f>3.43/4</f>
        <v>0.85750000000000004</v>
      </c>
    </row>
    <row r="18" spans="1:14" ht="15.75">
      <c r="A18" s="2">
        <v>366</v>
      </c>
      <c r="B18" s="3" t="s">
        <v>60</v>
      </c>
      <c r="C18" s="2">
        <v>80</v>
      </c>
      <c r="D18" s="4">
        <f>16.2*0.8</f>
        <v>12.96</v>
      </c>
      <c r="E18" s="4">
        <f>12*0.8</f>
        <v>9.6000000000000014</v>
      </c>
      <c r="F18" s="4">
        <f>0.3*0.8</f>
        <v>0.24</v>
      </c>
      <c r="G18" s="4">
        <f>174*0.8</f>
        <v>139.20000000000002</v>
      </c>
      <c r="H18" s="4">
        <f>0.04*0.8</f>
        <v>3.2000000000000001E-2</v>
      </c>
      <c r="I18" s="4">
        <f>0.4*0.8</f>
        <v>0.32000000000000006</v>
      </c>
      <c r="J18" s="4">
        <f>40*0.8</f>
        <v>32</v>
      </c>
      <c r="K18" s="4">
        <f>18*0.8</f>
        <v>14.4</v>
      </c>
      <c r="L18" s="4">
        <f>112*0.8</f>
        <v>89.600000000000009</v>
      </c>
      <c r="M18" s="4">
        <f>13*0.8</f>
        <v>10.4</v>
      </c>
      <c r="N18" s="4">
        <f>1.18*0.8</f>
        <v>0.94399999999999995</v>
      </c>
    </row>
    <row r="19" spans="1:14" ht="15.75">
      <c r="A19" s="2">
        <v>256</v>
      </c>
      <c r="B19" s="3" t="s">
        <v>19</v>
      </c>
      <c r="C19" s="2">
        <v>150</v>
      </c>
      <c r="D19" s="4">
        <f>3.7*1.5</f>
        <v>5.5500000000000007</v>
      </c>
      <c r="E19" s="4">
        <f>3.3*1.5</f>
        <v>4.9499999999999993</v>
      </c>
      <c r="F19" s="4">
        <f>19.7*1.5</f>
        <v>29.549999999999997</v>
      </c>
      <c r="G19" s="4">
        <f>123*1.5</f>
        <v>184.5</v>
      </c>
      <c r="H19" s="4">
        <f>0.04*1.5</f>
        <v>0.06</v>
      </c>
      <c r="I19" s="4">
        <v>0</v>
      </c>
      <c r="J19" s="4">
        <f>21*1.5</f>
        <v>31.5</v>
      </c>
      <c r="K19" s="4">
        <f>8*1.5</f>
        <v>12</v>
      </c>
      <c r="L19" s="4">
        <f>30*1.5</f>
        <v>45</v>
      </c>
      <c r="M19" s="4">
        <f>5*1.5</f>
        <v>7.5</v>
      </c>
      <c r="N19" s="4">
        <f>0.7*1.5</f>
        <v>1.0499999999999998</v>
      </c>
    </row>
    <row r="20" spans="1:14" ht="15.75">
      <c r="A20" s="2">
        <v>404</v>
      </c>
      <c r="B20" s="3" t="s">
        <v>61</v>
      </c>
      <c r="C20" s="2">
        <v>30</v>
      </c>
      <c r="D20" s="4">
        <f>26.4*0.03</f>
        <v>0.79199999999999993</v>
      </c>
      <c r="E20" s="4">
        <f>55.6*0.03</f>
        <v>1.6679999999999999</v>
      </c>
      <c r="F20" s="4">
        <f>52.9*0.03</f>
        <v>1.587</v>
      </c>
      <c r="G20" s="4">
        <f>818*0.03</f>
        <v>24.54</v>
      </c>
      <c r="H20" s="4">
        <f>0.31*0.03</f>
        <v>9.2999999999999992E-3</v>
      </c>
      <c r="I20" s="4">
        <f>4.9*0.03</f>
        <v>0.14699999999999999</v>
      </c>
      <c r="J20" s="4">
        <f>333*0.03</f>
        <v>9.99</v>
      </c>
      <c r="K20" s="4">
        <f>858*0.03</f>
        <v>25.74</v>
      </c>
      <c r="L20" s="4">
        <f>633*0.03</f>
        <v>18.989999999999998</v>
      </c>
      <c r="M20" s="4">
        <f>104*0.03</f>
        <v>3.12</v>
      </c>
      <c r="N20" s="4">
        <f>1.58*0.03</f>
        <v>4.7399999999999998E-2</v>
      </c>
    </row>
    <row r="21" spans="1:14" ht="31.5">
      <c r="A21" s="5">
        <v>31</v>
      </c>
      <c r="B21" s="3" t="s">
        <v>62</v>
      </c>
      <c r="C21" s="2">
        <v>30</v>
      </c>
      <c r="D21" s="4">
        <f>1.3*0.3</f>
        <v>0.39</v>
      </c>
      <c r="E21" s="4">
        <f>6.1*0.3</f>
        <v>1.8299999999999998</v>
      </c>
      <c r="F21" s="4">
        <f>6.2*0.3</f>
        <v>1.8599999999999999</v>
      </c>
      <c r="G21" s="4">
        <f>84*0.3</f>
        <v>25.2</v>
      </c>
      <c r="H21" s="4">
        <f>0.02*0.3</f>
        <v>6.0000000000000001E-3</v>
      </c>
      <c r="I21" s="4">
        <f>4.7*0.3</f>
        <v>1.41</v>
      </c>
      <c r="J21" s="4">
        <v>0</v>
      </c>
      <c r="K21" s="4">
        <f>31*0.3</f>
        <v>9.2999999999999989</v>
      </c>
      <c r="L21" s="4">
        <f>35*0.3</f>
        <v>10.5</v>
      </c>
      <c r="M21" s="4">
        <f>18*0.3</f>
        <v>5.3999999999999995</v>
      </c>
      <c r="N21" s="4">
        <f>1.1*0.3</f>
        <v>0.33</v>
      </c>
    </row>
    <row r="22" spans="1:14" ht="15.75">
      <c r="A22" s="2">
        <v>573</v>
      </c>
      <c r="B22" s="3" t="s">
        <v>20</v>
      </c>
      <c r="C22" s="2">
        <v>50</v>
      </c>
      <c r="D22" s="4">
        <f>7.6*0.5</f>
        <v>3.8</v>
      </c>
      <c r="E22" s="4">
        <f>0.8*0.5</f>
        <v>0.4</v>
      </c>
      <c r="F22" s="4">
        <f>49.2*0.5</f>
        <v>24.6</v>
      </c>
      <c r="G22" s="4">
        <f>234*0.5</f>
        <v>117</v>
      </c>
      <c r="H22" s="4">
        <f>0.11*0.5</f>
        <v>5.5E-2</v>
      </c>
      <c r="I22" s="4">
        <v>0</v>
      </c>
      <c r="J22" s="4">
        <v>0</v>
      </c>
      <c r="K22" s="4">
        <f>20*0.5</f>
        <v>10</v>
      </c>
      <c r="L22" s="4">
        <f>65*0.5</f>
        <v>32.5</v>
      </c>
      <c r="M22" s="4">
        <f>14*0.5</f>
        <v>7</v>
      </c>
      <c r="N22" s="4">
        <f>1.1*0.5</f>
        <v>0.55000000000000004</v>
      </c>
    </row>
    <row r="23" spans="1:14" ht="33" customHeight="1">
      <c r="A23" s="5">
        <v>486</v>
      </c>
      <c r="B23" s="3" t="s">
        <v>63</v>
      </c>
      <c r="C23" s="2">
        <v>200</v>
      </c>
      <c r="D23" s="4">
        <v>0.1</v>
      </c>
      <c r="E23" s="4">
        <v>0.1</v>
      </c>
      <c r="F23" s="4">
        <v>11.1</v>
      </c>
      <c r="G23" s="4">
        <v>46</v>
      </c>
      <c r="H23" s="4">
        <v>0.01</v>
      </c>
      <c r="I23" s="4">
        <v>0.6</v>
      </c>
      <c r="J23" s="4">
        <v>0</v>
      </c>
      <c r="K23" s="4">
        <v>3.4</v>
      </c>
      <c r="L23" s="4">
        <v>2.1</v>
      </c>
      <c r="M23" s="4">
        <v>1.7</v>
      </c>
      <c r="N23" s="4">
        <v>0.46</v>
      </c>
    </row>
    <row r="24" spans="1:14" ht="15.75">
      <c r="A24" s="2">
        <v>82</v>
      </c>
      <c r="B24" s="3" t="s">
        <v>64</v>
      </c>
      <c r="C24" s="2">
        <v>100</v>
      </c>
      <c r="D24" s="4">
        <v>0.4</v>
      </c>
      <c r="E24" s="4">
        <v>0.4</v>
      </c>
      <c r="F24" s="4">
        <v>9.8000000000000007</v>
      </c>
      <c r="G24" s="4">
        <v>44</v>
      </c>
      <c r="H24" s="4">
        <v>0.03</v>
      </c>
      <c r="I24" s="4">
        <v>7</v>
      </c>
      <c r="J24" s="4">
        <v>0</v>
      </c>
      <c r="K24" s="4">
        <v>16.100000000000001</v>
      </c>
      <c r="L24" s="4">
        <v>11</v>
      </c>
      <c r="M24" s="4">
        <v>9</v>
      </c>
      <c r="N24" s="4">
        <v>2.21</v>
      </c>
    </row>
    <row r="25" spans="1:14" ht="15.75">
      <c r="A25" s="2" t="s">
        <v>18</v>
      </c>
      <c r="B25" s="3" t="s">
        <v>39</v>
      </c>
      <c r="C25" s="2">
        <v>80</v>
      </c>
      <c r="D25" s="4">
        <v>7</v>
      </c>
      <c r="E25" s="4">
        <v>14.7</v>
      </c>
      <c r="F25" s="4">
        <v>53.5</v>
      </c>
      <c r="G25" s="4">
        <v>375</v>
      </c>
      <c r="H25" s="4"/>
      <c r="I25" s="4"/>
      <c r="J25" s="4"/>
      <c r="K25" s="4"/>
      <c r="L25" s="4"/>
      <c r="M25" s="4"/>
      <c r="N25" s="4"/>
    </row>
    <row r="26" spans="1:14" ht="15.75">
      <c r="A26" s="2"/>
      <c r="B26" s="7" t="s">
        <v>21</v>
      </c>
      <c r="C26" s="7"/>
      <c r="D26" s="8">
        <f>D17+D18+D19+D20+D21+D22+D23+D24+D25</f>
        <v>33.617000000000004</v>
      </c>
      <c r="E26" s="8">
        <f t="shared" ref="E26:H26" si="1">E17+E18+E19+E20+E21+E22+E23+E24+E25</f>
        <v>38.74799999999999</v>
      </c>
      <c r="F26" s="8">
        <f t="shared" si="1"/>
        <v>145.48699999999999</v>
      </c>
      <c r="G26" s="8">
        <f t="shared" si="1"/>
        <v>1064.94</v>
      </c>
      <c r="H26" s="8">
        <f t="shared" si="1"/>
        <v>0.2923</v>
      </c>
      <c r="I26" s="8">
        <f t="shared" ref="I26:N26" si="2">I17+I18+I19+I20+I21+I22+I23+I24</f>
        <v>16.576999999999998</v>
      </c>
      <c r="J26" s="8">
        <f t="shared" si="2"/>
        <v>73.489999999999995</v>
      </c>
      <c r="K26" s="8">
        <f t="shared" si="2"/>
        <v>107.69</v>
      </c>
      <c r="L26" s="8">
        <f t="shared" si="2"/>
        <v>270.69000000000005</v>
      </c>
      <c r="M26" s="8">
        <f t="shared" si="2"/>
        <v>69.62</v>
      </c>
      <c r="N26" s="8">
        <f t="shared" si="2"/>
        <v>6.4489000000000001</v>
      </c>
    </row>
    <row r="27" spans="1:14" ht="15.7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>
      <c r="A28" s="26" t="s">
        <v>25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5.75">
      <c r="A29" s="36" t="s">
        <v>92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</row>
    <row r="30" spans="1:14" ht="15.75">
      <c r="A30" s="2">
        <v>113</v>
      </c>
      <c r="B30" s="3" t="s">
        <v>65</v>
      </c>
      <c r="C30" s="2">
        <v>250</v>
      </c>
      <c r="D30" s="4">
        <f>10.4/4</f>
        <v>2.6</v>
      </c>
      <c r="E30" s="4">
        <f>13.2/4</f>
        <v>3.3</v>
      </c>
      <c r="F30" s="4">
        <f>30.8/4</f>
        <v>7.7</v>
      </c>
      <c r="G30" s="4">
        <f>283/4</f>
        <v>70.75</v>
      </c>
      <c r="H30" s="4">
        <f>0.34/4</f>
        <v>8.5000000000000006E-2</v>
      </c>
      <c r="I30" s="4">
        <f>21/4</f>
        <v>5.25</v>
      </c>
      <c r="J30" s="4">
        <f>70/4</f>
        <v>17.5</v>
      </c>
      <c r="K30" s="4">
        <f>89/4</f>
        <v>22.25</v>
      </c>
      <c r="L30" s="4">
        <f>234/4</f>
        <v>58.5</v>
      </c>
      <c r="M30" s="4">
        <f>88/4</f>
        <v>22</v>
      </c>
      <c r="N30" s="4">
        <f>3.26/4</f>
        <v>0.81499999999999995</v>
      </c>
    </row>
    <row r="31" spans="1:14" ht="15.75">
      <c r="A31" s="2">
        <v>375</v>
      </c>
      <c r="B31" s="3" t="s">
        <v>66</v>
      </c>
      <c r="C31" s="2">
        <v>200</v>
      </c>
      <c r="D31" s="4">
        <v>12.3</v>
      </c>
      <c r="E31" s="4">
        <v>8.1999999999999993</v>
      </c>
      <c r="F31" s="4">
        <v>24.8</v>
      </c>
      <c r="G31" s="4">
        <v>223</v>
      </c>
      <c r="H31" s="4">
        <v>0.04</v>
      </c>
      <c r="I31" s="4">
        <v>0</v>
      </c>
      <c r="J31" s="4">
        <v>15</v>
      </c>
      <c r="K31" s="4">
        <v>20</v>
      </c>
      <c r="L31" s="4">
        <v>87</v>
      </c>
      <c r="M31" s="4">
        <v>28</v>
      </c>
      <c r="N31" s="4">
        <v>0.71</v>
      </c>
    </row>
    <row r="32" spans="1:14" ht="15.75">
      <c r="A32" s="2">
        <v>148</v>
      </c>
      <c r="B32" s="3" t="s">
        <v>67</v>
      </c>
      <c r="C32" s="2">
        <v>40</v>
      </c>
      <c r="D32" s="4">
        <f>0.7*0.4</f>
        <v>0.27999999999999997</v>
      </c>
      <c r="E32" s="4">
        <f>0.1*0.4</f>
        <v>4.0000000000000008E-2</v>
      </c>
      <c r="F32" s="4">
        <f>1.9*0.4</f>
        <v>0.76</v>
      </c>
      <c r="G32" s="4">
        <f>11*0.4</f>
        <v>4.4000000000000004</v>
      </c>
      <c r="H32" s="4">
        <f>0.03*0.4</f>
        <v>1.2E-2</v>
      </c>
      <c r="I32" s="4">
        <f>3.5*0.4</f>
        <v>1.4000000000000001</v>
      </c>
      <c r="J32" s="4">
        <v>0</v>
      </c>
      <c r="K32" s="4">
        <f>17.8*0.4</f>
        <v>7.120000000000001</v>
      </c>
      <c r="L32" s="4">
        <f>30.3*0.4</f>
        <v>12.120000000000001</v>
      </c>
      <c r="M32" s="4">
        <f>14.1*0.4</f>
        <v>5.6400000000000006</v>
      </c>
      <c r="N32" s="4">
        <f>0.51*0.4</f>
        <v>0.20400000000000001</v>
      </c>
    </row>
    <row r="33" spans="1:14" ht="15.75">
      <c r="A33" s="2">
        <v>573</v>
      </c>
      <c r="B33" s="3" t="s">
        <v>20</v>
      </c>
      <c r="C33" s="2">
        <v>50</v>
      </c>
      <c r="D33" s="4">
        <f>7.6*0.5</f>
        <v>3.8</v>
      </c>
      <c r="E33" s="4">
        <f>0.8*0.5</f>
        <v>0.4</v>
      </c>
      <c r="F33" s="4">
        <f>49.2*0.5</f>
        <v>24.6</v>
      </c>
      <c r="G33" s="4">
        <f>234*0.5</f>
        <v>117</v>
      </c>
      <c r="H33" s="4">
        <f>0.11*0.5</f>
        <v>5.5E-2</v>
      </c>
      <c r="I33" s="4">
        <v>0</v>
      </c>
      <c r="J33" s="4">
        <v>0</v>
      </c>
      <c r="K33" s="4">
        <f>20*0.5</f>
        <v>10</v>
      </c>
      <c r="L33" s="4">
        <f>65*0.5</f>
        <v>32.5</v>
      </c>
      <c r="M33" s="4">
        <f>14*0.5</f>
        <v>7</v>
      </c>
      <c r="N33" s="4">
        <f>1.1*0.5</f>
        <v>0.55000000000000004</v>
      </c>
    </row>
    <row r="34" spans="1:14" ht="15.75">
      <c r="A34" s="2">
        <v>484</v>
      </c>
      <c r="B34" s="3" t="s">
        <v>68</v>
      </c>
      <c r="C34" s="2">
        <v>200</v>
      </c>
      <c r="D34" s="4">
        <v>0</v>
      </c>
      <c r="E34" s="4">
        <v>0</v>
      </c>
      <c r="F34" s="4">
        <v>15</v>
      </c>
      <c r="G34" s="4">
        <v>60</v>
      </c>
      <c r="H34" s="4">
        <v>0</v>
      </c>
      <c r="I34" s="4">
        <v>0</v>
      </c>
      <c r="J34" s="4">
        <v>0</v>
      </c>
      <c r="K34" s="4">
        <v>3.4</v>
      </c>
      <c r="L34" s="4">
        <v>5.8</v>
      </c>
      <c r="M34" s="4">
        <v>0</v>
      </c>
      <c r="N34" s="4">
        <v>0.02</v>
      </c>
    </row>
    <row r="35" spans="1:14" ht="15.75">
      <c r="A35" s="5" t="s">
        <v>18</v>
      </c>
      <c r="B35" s="3" t="s">
        <v>39</v>
      </c>
      <c r="C35" s="2">
        <v>50</v>
      </c>
      <c r="D35" s="4">
        <v>8</v>
      </c>
      <c r="E35" s="4">
        <v>9</v>
      </c>
      <c r="F35" s="4">
        <v>60</v>
      </c>
      <c r="G35" s="4">
        <v>336</v>
      </c>
      <c r="H35" s="4"/>
      <c r="I35" s="4"/>
      <c r="J35" s="4"/>
      <c r="K35" s="4"/>
      <c r="L35" s="4"/>
      <c r="M35" s="4"/>
      <c r="N35" s="4"/>
    </row>
    <row r="36" spans="1:14" ht="15.75">
      <c r="A36" s="5"/>
      <c r="B36" s="3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.75">
      <c r="A37" s="2"/>
      <c r="B37" s="6" t="s">
        <v>21</v>
      </c>
      <c r="C37" s="2"/>
      <c r="D37" s="8">
        <f>D30+D31+D32+D33+D34+D35+D36</f>
        <v>26.98</v>
      </c>
      <c r="E37" s="8">
        <f t="shared" ref="E37:N37" si="3">E30+E31+E32+E33+E34+E35+E36</f>
        <v>20.939999999999998</v>
      </c>
      <c r="F37" s="8">
        <f t="shared" si="3"/>
        <v>132.86000000000001</v>
      </c>
      <c r="G37" s="8">
        <f t="shared" si="3"/>
        <v>811.15</v>
      </c>
      <c r="H37" s="8">
        <f t="shared" si="3"/>
        <v>0.192</v>
      </c>
      <c r="I37" s="8">
        <f t="shared" si="3"/>
        <v>6.65</v>
      </c>
      <c r="J37" s="8">
        <f t="shared" si="3"/>
        <v>32.5</v>
      </c>
      <c r="K37" s="8">
        <f t="shared" si="3"/>
        <v>62.77</v>
      </c>
      <c r="L37" s="8">
        <f t="shared" si="3"/>
        <v>195.92000000000002</v>
      </c>
      <c r="M37" s="8">
        <f t="shared" si="3"/>
        <v>62.64</v>
      </c>
      <c r="N37" s="8">
        <f t="shared" si="3"/>
        <v>2.2989999999999999</v>
      </c>
    </row>
    <row r="38" spans="1:14" ht="15.7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</row>
    <row r="39" spans="1:14" ht="15.75">
      <c r="A39" s="28" t="s">
        <v>27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.75">
      <c r="A40" s="36" t="s">
        <v>92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1:14" ht="31.5">
      <c r="A41" s="2">
        <v>154</v>
      </c>
      <c r="B41" s="3" t="s">
        <v>40</v>
      </c>
      <c r="C41" s="2">
        <v>250</v>
      </c>
      <c r="D41" s="4">
        <v>2.13</v>
      </c>
      <c r="E41" s="4">
        <v>5.0999999999999996</v>
      </c>
      <c r="F41" s="4">
        <v>14.55</v>
      </c>
      <c r="G41" s="4">
        <v>112.5</v>
      </c>
      <c r="H41" s="4">
        <f>0.3/4</f>
        <v>7.4999999999999997E-2</v>
      </c>
      <c r="I41" s="4">
        <f>17.4/4</f>
        <v>4.3499999999999996</v>
      </c>
      <c r="J41" s="4">
        <v>0</v>
      </c>
      <c r="K41" s="4">
        <f>115/4</f>
        <v>28.75</v>
      </c>
      <c r="L41" s="4">
        <f>257/4</f>
        <v>64.25</v>
      </c>
      <c r="M41" s="4">
        <f>98/4</f>
        <v>24.5</v>
      </c>
      <c r="N41" s="4">
        <f>3.61/4</f>
        <v>0.90249999999999997</v>
      </c>
    </row>
    <row r="42" spans="1:14" ht="15.75">
      <c r="A42" s="2">
        <v>333</v>
      </c>
      <c r="B42" s="3" t="s">
        <v>69</v>
      </c>
      <c r="C42" s="2">
        <v>100</v>
      </c>
      <c r="D42" s="4">
        <v>11</v>
      </c>
      <c r="E42" s="4">
        <v>12.4</v>
      </c>
      <c r="F42" s="4">
        <v>4</v>
      </c>
      <c r="G42" s="4">
        <v>173</v>
      </c>
      <c r="H42" s="4">
        <v>0.04</v>
      </c>
      <c r="I42" s="4">
        <v>7.2</v>
      </c>
      <c r="J42" s="4">
        <v>19</v>
      </c>
      <c r="K42" s="4">
        <v>24</v>
      </c>
      <c r="L42" s="4">
        <v>123</v>
      </c>
      <c r="M42" s="4">
        <v>20</v>
      </c>
      <c r="N42" s="4">
        <v>1.71</v>
      </c>
    </row>
    <row r="43" spans="1:14" ht="15.75">
      <c r="A43" s="2">
        <v>404</v>
      </c>
      <c r="B43" s="3" t="s">
        <v>61</v>
      </c>
      <c r="C43" s="2">
        <v>30</v>
      </c>
      <c r="D43" s="4">
        <f>26.4*0.03</f>
        <v>0.79199999999999993</v>
      </c>
      <c r="E43" s="4">
        <f>55.6*0.03</f>
        <v>1.6679999999999999</v>
      </c>
      <c r="F43" s="4">
        <f>52.9*0.03</f>
        <v>1.587</v>
      </c>
      <c r="G43" s="4">
        <f>818*0.03</f>
        <v>24.54</v>
      </c>
      <c r="H43" s="4">
        <f>0.31*0.03</f>
        <v>9.2999999999999992E-3</v>
      </c>
      <c r="I43" s="4">
        <f>4.9*0.03</f>
        <v>0.14699999999999999</v>
      </c>
      <c r="J43" s="4">
        <f>333*0.03</f>
        <v>9.99</v>
      </c>
      <c r="K43" s="4">
        <f>858*0.03</f>
        <v>25.74</v>
      </c>
      <c r="L43" s="4">
        <f>633*0.03</f>
        <v>18.989999999999998</v>
      </c>
      <c r="M43" s="4">
        <f>104*0.03</f>
        <v>3.12</v>
      </c>
      <c r="N43" s="4">
        <f>1.58*0.03</f>
        <v>4.7399999999999998E-2</v>
      </c>
    </row>
    <row r="44" spans="1:14" ht="31.5">
      <c r="A44" s="2">
        <v>202</v>
      </c>
      <c r="B44" s="3" t="s">
        <v>70</v>
      </c>
      <c r="C44" s="2">
        <v>150</v>
      </c>
      <c r="D44" s="4">
        <f>59*0.14</f>
        <v>8.2600000000000016</v>
      </c>
      <c r="E44" s="4">
        <f>44.1*0.14</f>
        <v>6.1740000000000004</v>
      </c>
      <c r="F44" s="4">
        <f>261.1*0.14</f>
        <v>36.554000000000009</v>
      </c>
      <c r="G44" s="4">
        <f>1679*0.14</f>
        <v>235.06000000000003</v>
      </c>
      <c r="H44" s="4">
        <f>1.4*0.14</f>
        <v>0.19600000000000001</v>
      </c>
      <c r="I44" s="4">
        <v>0</v>
      </c>
      <c r="J44" s="4">
        <f>160*0.14</f>
        <v>22.400000000000002</v>
      </c>
      <c r="K44" s="4">
        <f>111*0.14</f>
        <v>15.540000000000001</v>
      </c>
      <c r="L44" s="4">
        <f>1403*0.14</f>
        <v>196.42000000000002</v>
      </c>
      <c r="M44" s="4">
        <f>933*0.14</f>
        <v>130.62</v>
      </c>
      <c r="N44" s="4">
        <f>31.4*0.14</f>
        <v>4.3959999999999999</v>
      </c>
    </row>
    <row r="45" spans="1:14" ht="15.75">
      <c r="A45" s="2">
        <v>573</v>
      </c>
      <c r="B45" s="3" t="s">
        <v>20</v>
      </c>
      <c r="C45" s="2">
        <v>50</v>
      </c>
      <c r="D45" s="4">
        <f>7.6*0.5</f>
        <v>3.8</v>
      </c>
      <c r="E45" s="4">
        <f>0.8*0.5</f>
        <v>0.4</v>
      </c>
      <c r="F45" s="4">
        <f>49.2*0.5</f>
        <v>24.6</v>
      </c>
      <c r="G45" s="4">
        <f>234*0.5</f>
        <v>117</v>
      </c>
      <c r="H45" s="4">
        <f>0.11*0.5</f>
        <v>5.5E-2</v>
      </c>
      <c r="I45" s="4">
        <v>0</v>
      </c>
      <c r="J45" s="4">
        <v>0</v>
      </c>
      <c r="K45" s="4">
        <f>20*0.5</f>
        <v>10</v>
      </c>
      <c r="L45" s="4">
        <f>65*0.5</f>
        <v>32.5</v>
      </c>
      <c r="M45" s="4">
        <f>14*0.5</f>
        <v>7</v>
      </c>
      <c r="N45" s="4">
        <f>1.1*0.5</f>
        <v>0.55000000000000004</v>
      </c>
    </row>
    <row r="46" spans="1:14" ht="15.75">
      <c r="A46" s="5">
        <v>508</v>
      </c>
      <c r="B46" s="3" t="s">
        <v>23</v>
      </c>
      <c r="C46" s="2">
        <v>200</v>
      </c>
      <c r="D46" s="4">
        <v>0.5</v>
      </c>
      <c r="E46" s="4">
        <v>0</v>
      </c>
      <c r="F46" s="4">
        <v>27</v>
      </c>
      <c r="G46" s="4">
        <v>110</v>
      </c>
      <c r="H46" s="4">
        <v>0.01</v>
      </c>
      <c r="I46" s="4">
        <v>0.5</v>
      </c>
      <c r="J46" s="4">
        <v>0</v>
      </c>
      <c r="K46" s="4">
        <v>28</v>
      </c>
      <c r="L46" s="4">
        <v>19</v>
      </c>
      <c r="M46" s="4">
        <v>7</v>
      </c>
      <c r="N46" s="4">
        <v>1.5</v>
      </c>
    </row>
    <row r="47" spans="1:14" ht="15.75">
      <c r="A47" s="2">
        <v>82</v>
      </c>
      <c r="B47" s="3" t="s">
        <v>64</v>
      </c>
      <c r="C47" s="2">
        <v>100</v>
      </c>
      <c r="D47" s="4">
        <v>0.4</v>
      </c>
      <c r="E47" s="4">
        <v>0.4</v>
      </c>
      <c r="F47" s="4">
        <v>9.8000000000000007</v>
      </c>
      <c r="G47" s="4">
        <v>44</v>
      </c>
      <c r="H47" s="4">
        <v>0.03</v>
      </c>
      <c r="I47" s="4">
        <v>7</v>
      </c>
      <c r="J47" s="4">
        <v>0</v>
      </c>
      <c r="K47" s="4">
        <v>16.100000000000001</v>
      </c>
      <c r="L47" s="4">
        <v>11</v>
      </c>
      <c r="M47" s="4">
        <v>9</v>
      </c>
      <c r="N47" s="4">
        <v>2.21</v>
      </c>
    </row>
    <row r="48" spans="1:14" ht="15.75">
      <c r="A48" s="2"/>
      <c r="B48" s="7" t="s">
        <v>21</v>
      </c>
      <c r="C48" s="2"/>
      <c r="D48" s="8">
        <f>D41+D42+D43+D44+D45+D46+D47</f>
        <v>26.882000000000001</v>
      </c>
      <c r="E48" s="8">
        <f t="shared" ref="E48:N48" si="4">E41+E42+E43+E44+E45+E46+E47</f>
        <v>26.141999999999996</v>
      </c>
      <c r="F48" s="8">
        <f t="shared" si="4"/>
        <v>118.09100000000001</v>
      </c>
      <c r="G48" s="8">
        <f>G41+G42+G43+G44+G45+G46+G47</f>
        <v>816.1</v>
      </c>
      <c r="H48" s="8">
        <f t="shared" si="4"/>
        <v>0.4153</v>
      </c>
      <c r="I48" s="8">
        <f t="shared" si="4"/>
        <v>19.197000000000003</v>
      </c>
      <c r="J48" s="8">
        <f t="shared" si="4"/>
        <v>51.39</v>
      </c>
      <c r="K48" s="8">
        <f t="shared" si="4"/>
        <v>148.13</v>
      </c>
      <c r="L48" s="8">
        <f t="shared" si="4"/>
        <v>465.16</v>
      </c>
      <c r="M48" s="8">
        <f t="shared" si="4"/>
        <v>201.24</v>
      </c>
      <c r="N48" s="8">
        <f t="shared" si="4"/>
        <v>11.315899999999999</v>
      </c>
    </row>
    <row r="49" spans="1:14" ht="15.7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ht="15.75">
      <c r="A50" s="20" t="s">
        <v>30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</row>
    <row r="51" spans="1:14" ht="15.75">
      <c r="A51" s="36" t="s">
        <v>92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4" ht="15.75">
      <c r="A52" s="2">
        <v>76</v>
      </c>
      <c r="B52" s="3" t="s">
        <v>49</v>
      </c>
      <c r="C52" s="2">
        <v>100</v>
      </c>
      <c r="D52" s="4">
        <v>1.3</v>
      </c>
      <c r="E52" s="4">
        <v>10.8</v>
      </c>
      <c r="F52" s="4">
        <v>6.8</v>
      </c>
      <c r="G52" s="4">
        <v>130</v>
      </c>
      <c r="H52" s="4">
        <v>8.4</v>
      </c>
      <c r="I52" s="4">
        <v>6.2</v>
      </c>
      <c r="J52" s="4">
        <v>0</v>
      </c>
      <c r="K52" s="4">
        <v>40</v>
      </c>
      <c r="L52" s="4">
        <v>42</v>
      </c>
      <c r="M52" s="4">
        <v>18</v>
      </c>
      <c r="N52" s="4">
        <v>0.8</v>
      </c>
    </row>
    <row r="53" spans="1:14" ht="15.75">
      <c r="A53" s="9">
        <v>267</v>
      </c>
      <c r="B53" s="3" t="s">
        <v>50</v>
      </c>
      <c r="C53" s="9">
        <v>20</v>
      </c>
      <c r="D53" s="10">
        <f>5.2/2</f>
        <v>2.6</v>
      </c>
      <c r="E53" s="10">
        <v>2.2999999999999998</v>
      </c>
      <c r="F53" s="10">
        <v>0.15</v>
      </c>
      <c r="G53" s="10">
        <f>63/2</f>
        <v>31.5</v>
      </c>
      <c r="H53" s="10">
        <v>1.4999999999999999E-2</v>
      </c>
      <c r="I53" s="10">
        <v>0</v>
      </c>
      <c r="J53" s="10">
        <v>50</v>
      </c>
      <c r="K53" s="10">
        <v>11</v>
      </c>
      <c r="L53" s="10">
        <f>77/2</f>
        <v>38.5</v>
      </c>
      <c r="M53" s="10">
        <v>2.5</v>
      </c>
      <c r="N53" s="10">
        <f>1.01/2</f>
        <v>0.505</v>
      </c>
    </row>
    <row r="54" spans="1:14" ht="15.75">
      <c r="A54" s="9">
        <v>307</v>
      </c>
      <c r="B54" s="9" t="s">
        <v>71</v>
      </c>
      <c r="C54" s="9">
        <v>80</v>
      </c>
      <c r="D54" s="10">
        <f>9*1.14</f>
        <v>10.26</v>
      </c>
      <c r="E54" s="10">
        <f>1.1*1.14</f>
        <v>1.254</v>
      </c>
      <c r="F54" s="10">
        <f>7*1.14</f>
        <v>7.9799999999999995</v>
      </c>
      <c r="G54" s="10">
        <f>74*1.14</f>
        <v>84.36</v>
      </c>
      <c r="H54" s="10">
        <f>0.05*1.14</f>
        <v>5.6999999999999995E-2</v>
      </c>
      <c r="I54" s="10">
        <v>0</v>
      </c>
      <c r="J54" s="10">
        <f>13*1.14</f>
        <v>14.819999999999999</v>
      </c>
      <c r="K54" s="10">
        <f>37*1.14</f>
        <v>42.18</v>
      </c>
      <c r="L54" s="10">
        <f>123*1.14</f>
        <v>140.22</v>
      </c>
      <c r="M54" s="10">
        <f>18*1.14</f>
        <v>20.52</v>
      </c>
      <c r="N54" s="10">
        <f>0.42*1.14</f>
        <v>0.47879999999999995</v>
      </c>
    </row>
    <row r="55" spans="1:14" ht="15.75">
      <c r="A55" s="9">
        <v>386</v>
      </c>
      <c r="B55" s="9" t="s">
        <v>51</v>
      </c>
      <c r="C55" s="9">
        <v>150</v>
      </c>
      <c r="D55" s="10">
        <v>4.8</v>
      </c>
      <c r="E55" s="10">
        <v>7.2</v>
      </c>
      <c r="F55" s="10">
        <v>392</v>
      </c>
      <c r="G55" s="10">
        <v>241.6</v>
      </c>
      <c r="H55" s="10">
        <f>0.16*0.15</f>
        <v>2.4E-2</v>
      </c>
      <c r="I55" s="10">
        <v>0</v>
      </c>
      <c r="J55" s="10">
        <v>34.200000000000003</v>
      </c>
      <c r="K55" s="10">
        <v>8</v>
      </c>
      <c r="L55" s="10">
        <v>83.8</v>
      </c>
      <c r="M55" s="10">
        <v>26</v>
      </c>
      <c r="N55" s="10">
        <v>0.17</v>
      </c>
    </row>
    <row r="56" spans="1:14" ht="31.5">
      <c r="A56" s="2">
        <v>410</v>
      </c>
      <c r="B56" s="3" t="s">
        <v>72</v>
      </c>
      <c r="C56" s="2">
        <v>30</v>
      </c>
      <c r="D56" s="4">
        <f>33*0.03</f>
        <v>0.99</v>
      </c>
      <c r="E56" s="4">
        <f>186.9*0.03</f>
        <v>5.6070000000000002</v>
      </c>
      <c r="F56" s="4">
        <f>53.4*0.03</f>
        <v>1.6019999999999999</v>
      </c>
      <c r="G56" s="4">
        <f>2027*0.03</f>
        <v>60.809999999999995</v>
      </c>
      <c r="H56" s="4">
        <f>0.35*0.03</f>
        <v>1.0499999999999999E-2</v>
      </c>
      <c r="I56" s="4">
        <f>7.2*0.03</f>
        <v>0.216</v>
      </c>
      <c r="J56" s="4">
        <f>1140*0.03</f>
        <v>34.199999999999996</v>
      </c>
      <c r="K56" s="4">
        <f>858*0.03</f>
        <v>25.74</v>
      </c>
      <c r="L56" s="4">
        <f>643*0.03</f>
        <v>19.29</v>
      </c>
      <c r="M56" s="4">
        <f>134*0.03</f>
        <v>4.0199999999999996</v>
      </c>
      <c r="N56" s="4">
        <f>4.54*0.03</f>
        <v>0.13619999999999999</v>
      </c>
    </row>
    <row r="57" spans="1:14" ht="15.75">
      <c r="A57" s="2">
        <v>573</v>
      </c>
      <c r="B57" s="3" t="s">
        <v>20</v>
      </c>
      <c r="C57" s="2">
        <v>50</v>
      </c>
      <c r="D57" s="4">
        <f>7.6*0.5</f>
        <v>3.8</v>
      </c>
      <c r="E57" s="4">
        <f>0.8*0.5</f>
        <v>0.4</v>
      </c>
      <c r="F57" s="4">
        <f>49.2*0.5</f>
        <v>24.6</v>
      </c>
      <c r="G57" s="4">
        <f>234*0.5</f>
        <v>117</v>
      </c>
      <c r="H57" s="4">
        <f>0.11*0.5</f>
        <v>5.5E-2</v>
      </c>
      <c r="I57" s="4">
        <v>0</v>
      </c>
      <c r="J57" s="4">
        <v>0</v>
      </c>
      <c r="K57" s="4">
        <f>20*0.5</f>
        <v>10</v>
      </c>
      <c r="L57" s="4">
        <f>65*0.5</f>
        <v>32.5</v>
      </c>
      <c r="M57" s="4">
        <f>14*0.5</f>
        <v>7</v>
      </c>
      <c r="N57" s="4">
        <f>1.1*0.5</f>
        <v>0.55000000000000004</v>
      </c>
    </row>
    <row r="58" spans="1:14" ht="15.75">
      <c r="A58" s="5">
        <v>501</v>
      </c>
      <c r="B58" s="9" t="s">
        <v>38</v>
      </c>
      <c r="C58" s="9">
        <v>200</v>
      </c>
      <c r="D58" s="10">
        <v>1</v>
      </c>
      <c r="E58" s="10">
        <v>0.2</v>
      </c>
      <c r="F58" s="10">
        <v>20.2</v>
      </c>
      <c r="G58" s="10">
        <v>86</v>
      </c>
      <c r="H58" s="10">
        <v>0.02</v>
      </c>
      <c r="I58" s="10">
        <v>4</v>
      </c>
      <c r="J58" s="10">
        <v>0</v>
      </c>
      <c r="K58" s="10">
        <v>14</v>
      </c>
      <c r="L58" s="10">
        <v>14</v>
      </c>
      <c r="M58" s="10">
        <v>8</v>
      </c>
      <c r="N58" s="10">
        <v>2.8</v>
      </c>
    </row>
    <row r="59" spans="1:14" ht="15.75">
      <c r="A59" s="9"/>
      <c r="B59" s="11" t="s">
        <v>21</v>
      </c>
      <c r="C59" s="9"/>
      <c r="D59" s="12">
        <f>D52+D53+D54+D55+D56+D57+D58</f>
        <v>24.75</v>
      </c>
      <c r="E59" s="12">
        <f t="shared" ref="E59:N59" si="5">E52+E53+E54+E55+E56+E57+E58</f>
        <v>27.760999999999999</v>
      </c>
      <c r="F59" s="12">
        <f t="shared" si="5"/>
        <v>453.33199999999999</v>
      </c>
      <c r="G59" s="12">
        <f t="shared" si="5"/>
        <v>751.27</v>
      </c>
      <c r="H59" s="12">
        <f t="shared" si="5"/>
        <v>8.5815000000000001</v>
      </c>
      <c r="I59" s="12">
        <f t="shared" si="5"/>
        <v>10.416</v>
      </c>
      <c r="J59" s="12">
        <f t="shared" si="5"/>
        <v>133.22</v>
      </c>
      <c r="K59" s="12">
        <f t="shared" si="5"/>
        <v>150.92000000000002</v>
      </c>
      <c r="L59" s="12">
        <f t="shared" si="5"/>
        <v>370.31</v>
      </c>
      <c r="M59" s="12">
        <f t="shared" si="5"/>
        <v>86.039999999999992</v>
      </c>
      <c r="N59" s="12">
        <f t="shared" si="5"/>
        <v>5.4399999999999995</v>
      </c>
    </row>
    <row r="60" spans="1:14" ht="15.75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</row>
    <row r="61" spans="1:14" ht="15.75">
      <c r="A61" s="20" t="s">
        <v>31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</row>
    <row r="62" spans="1:14" ht="15.75">
      <c r="A62" s="36" t="s">
        <v>92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</row>
    <row r="63" spans="1:14" ht="31.5">
      <c r="A63" s="9">
        <v>129</v>
      </c>
      <c r="B63" s="3" t="s">
        <v>73</v>
      </c>
      <c r="C63" s="9">
        <v>250</v>
      </c>
      <c r="D63" s="10">
        <f>11.6/4</f>
        <v>2.9</v>
      </c>
      <c r="E63" s="10">
        <f>16.6/4</f>
        <v>4.1500000000000004</v>
      </c>
      <c r="F63" s="10">
        <f>48.8/4</f>
        <v>12.2</v>
      </c>
      <c r="G63" s="10">
        <f>391/4</f>
        <v>97.75</v>
      </c>
      <c r="H63" s="10">
        <f>0.27/4</f>
        <v>6.7500000000000004E-2</v>
      </c>
      <c r="I63" s="10">
        <f>15.2/4</f>
        <v>3.8</v>
      </c>
      <c r="J63" s="10">
        <f>8.5/4</f>
        <v>2.125</v>
      </c>
      <c r="K63" s="10">
        <f>64/4</f>
        <v>16</v>
      </c>
      <c r="L63" s="10">
        <f>187/4</f>
        <v>46.75</v>
      </c>
      <c r="M63" s="10">
        <f>68/4</f>
        <v>17</v>
      </c>
      <c r="N63" s="10">
        <f>3.26/4</f>
        <v>0.81499999999999995</v>
      </c>
    </row>
    <row r="64" spans="1:14" ht="31.5">
      <c r="A64" s="2">
        <v>339</v>
      </c>
      <c r="B64" s="3" t="s">
        <v>74</v>
      </c>
      <c r="C64" s="2">
        <v>80</v>
      </c>
      <c r="D64" s="4">
        <f>17.6*0.8</f>
        <v>14.080000000000002</v>
      </c>
      <c r="E64" s="4">
        <f>12.3*0.8</f>
        <v>9.8400000000000016</v>
      </c>
      <c r="F64" s="4">
        <f>15*0.8</f>
        <v>12</v>
      </c>
      <c r="G64" s="4">
        <f>243*0.8</f>
        <v>194.4</v>
      </c>
      <c r="H64" s="4">
        <f>0.16*0.8</f>
        <v>0.128</v>
      </c>
      <c r="I64" s="4">
        <v>0</v>
      </c>
      <c r="J64" s="4">
        <f>4*0.8</f>
        <v>3.2</v>
      </c>
      <c r="K64" s="4">
        <f>53*0.8</f>
        <v>42.400000000000006</v>
      </c>
      <c r="L64" s="4">
        <f>173*0.8</f>
        <v>138.4</v>
      </c>
      <c r="M64" s="4">
        <f>26*0.8</f>
        <v>20.8</v>
      </c>
      <c r="N64" s="4">
        <f>2.8*0.8</f>
        <v>2.2399999999999998</v>
      </c>
    </row>
    <row r="65" spans="1:14" ht="15.75">
      <c r="A65" s="2">
        <v>256</v>
      </c>
      <c r="B65" s="3" t="s">
        <v>19</v>
      </c>
      <c r="C65" s="2">
        <v>150</v>
      </c>
      <c r="D65" s="4">
        <f>3.7*1.5</f>
        <v>5.5500000000000007</v>
      </c>
      <c r="E65" s="4">
        <f>3.3*1.5</f>
        <v>4.9499999999999993</v>
      </c>
      <c r="F65" s="4">
        <f>19.7*1.5</f>
        <v>29.549999999999997</v>
      </c>
      <c r="G65" s="4">
        <f>123*1.5</f>
        <v>184.5</v>
      </c>
      <c r="H65" s="4">
        <f>0.04*1.5</f>
        <v>0.06</v>
      </c>
      <c r="I65" s="4">
        <v>0</v>
      </c>
      <c r="J65" s="4">
        <f>21*1.5</f>
        <v>31.5</v>
      </c>
      <c r="K65" s="4">
        <f>8*1.5</f>
        <v>12</v>
      </c>
      <c r="L65" s="4">
        <f>30*1.5</f>
        <v>45</v>
      </c>
      <c r="M65" s="4">
        <f>5*1.5</f>
        <v>7.5</v>
      </c>
      <c r="N65" s="4">
        <f>0.7*1.5</f>
        <v>1.0499999999999998</v>
      </c>
    </row>
    <row r="66" spans="1:14" ht="15.75">
      <c r="A66" s="2">
        <v>573</v>
      </c>
      <c r="B66" s="3" t="s">
        <v>20</v>
      </c>
      <c r="C66" s="2">
        <v>50</v>
      </c>
      <c r="D66" s="4">
        <f>7.6*0.5</f>
        <v>3.8</v>
      </c>
      <c r="E66" s="4">
        <f>0.8*0.5</f>
        <v>0.4</v>
      </c>
      <c r="F66" s="4">
        <f>49.2*0.5</f>
        <v>24.6</v>
      </c>
      <c r="G66" s="4">
        <f>234*0.5</f>
        <v>117</v>
      </c>
      <c r="H66" s="4">
        <f>0.11*0.5</f>
        <v>5.5E-2</v>
      </c>
      <c r="I66" s="4">
        <v>0</v>
      </c>
      <c r="J66" s="4">
        <v>0</v>
      </c>
      <c r="K66" s="4">
        <f>20*0.5</f>
        <v>10</v>
      </c>
      <c r="L66" s="4">
        <f>65*0.5</f>
        <v>32.5</v>
      </c>
      <c r="M66" s="4">
        <f>14*0.5</f>
        <v>7</v>
      </c>
      <c r="N66" s="4">
        <f>1.1*0.5</f>
        <v>0.55000000000000004</v>
      </c>
    </row>
    <row r="67" spans="1:14" ht="15.75">
      <c r="A67" s="5">
        <v>497</v>
      </c>
      <c r="B67" s="3" t="s">
        <v>37</v>
      </c>
      <c r="C67" s="2">
        <v>200</v>
      </c>
      <c r="D67" s="4">
        <v>0.1</v>
      </c>
      <c r="E67" s="4">
        <v>0.04</v>
      </c>
      <c r="F67" s="4">
        <v>9.9</v>
      </c>
      <c r="G67" s="4">
        <v>41</v>
      </c>
      <c r="H67" s="4">
        <v>0</v>
      </c>
      <c r="I67" s="4">
        <v>1.1000000000000001</v>
      </c>
      <c r="J67" s="4">
        <v>0</v>
      </c>
      <c r="K67" s="4">
        <v>3</v>
      </c>
      <c r="L67" s="4">
        <v>2</v>
      </c>
      <c r="M67" s="4">
        <v>2.9</v>
      </c>
      <c r="N67" s="4">
        <v>0.15</v>
      </c>
    </row>
    <row r="68" spans="1:14" ht="15.75">
      <c r="A68" s="5" t="s">
        <v>18</v>
      </c>
      <c r="B68" s="3" t="s">
        <v>75</v>
      </c>
      <c r="C68" s="2">
        <v>50</v>
      </c>
      <c r="D68" s="4">
        <v>4.7</v>
      </c>
      <c r="E68" s="4">
        <v>8.86</v>
      </c>
      <c r="F68" s="4">
        <v>21.33</v>
      </c>
      <c r="G68" s="4">
        <v>384.5</v>
      </c>
      <c r="H68" s="4"/>
      <c r="I68" s="4"/>
      <c r="J68" s="4"/>
      <c r="K68" s="4"/>
      <c r="L68" s="4"/>
      <c r="M68" s="4"/>
      <c r="N68" s="4"/>
    </row>
    <row r="69" spans="1:14" ht="15.75">
      <c r="A69" s="5"/>
      <c r="B69" s="3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9"/>
      <c r="B70" s="6" t="s">
        <v>21</v>
      </c>
      <c r="C70" s="9"/>
      <c r="D70" s="12">
        <f>D63+D64+D65+D66+D67+D68+D69</f>
        <v>31.130000000000003</v>
      </c>
      <c r="E70" s="12">
        <f t="shared" ref="E70:N70" si="6">E63+E64+E65+E66+E67+E68+E69</f>
        <v>28.24</v>
      </c>
      <c r="F70" s="12">
        <f t="shared" si="6"/>
        <v>109.58</v>
      </c>
      <c r="G70" s="12">
        <f t="shared" si="6"/>
        <v>1019.15</v>
      </c>
      <c r="H70" s="12">
        <f t="shared" si="6"/>
        <v>0.3105</v>
      </c>
      <c r="I70" s="12">
        <f t="shared" si="6"/>
        <v>4.9000000000000004</v>
      </c>
      <c r="J70" s="12">
        <f t="shared" si="6"/>
        <v>36.825000000000003</v>
      </c>
      <c r="K70" s="12">
        <f t="shared" si="6"/>
        <v>83.4</v>
      </c>
      <c r="L70" s="12">
        <f t="shared" si="6"/>
        <v>264.64999999999998</v>
      </c>
      <c r="M70" s="12">
        <f t="shared" si="6"/>
        <v>55.199999999999996</v>
      </c>
      <c r="N70" s="12">
        <f t="shared" si="6"/>
        <v>4.8049999999999997</v>
      </c>
    </row>
    <row r="71" spans="1:14" ht="15.75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</row>
    <row r="72" spans="1:14" ht="15.75">
      <c r="A72" s="20" t="s">
        <v>32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1:14" ht="15.75">
      <c r="A73" s="36" t="s">
        <v>92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31.5">
      <c r="A74" s="9">
        <v>128</v>
      </c>
      <c r="B74" s="3" t="s">
        <v>76</v>
      </c>
      <c r="C74" s="9">
        <v>250</v>
      </c>
      <c r="D74" s="10">
        <f>7.4/4</f>
        <v>1.85</v>
      </c>
      <c r="E74" s="10">
        <v>5</v>
      </c>
      <c r="F74" s="10">
        <v>10.65</v>
      </c>
      <c r="G74" s="10">
        <v>95</v>
      </c>
      <c r="H74" s="10">
        <v>4.7E-2</v>
      </c>
      <c r="I74" s="10">
        <v>10.3</v>
      </c>
      <c r="J74" s="10">
        <v>0</v>
      </c>
      <c r="K74" s="10">
        <v>34.5</v>
      </c>
      <c r="L74" s="10">
        <v>53</v>
      </c>
      <c r="M74" s="10">
        <v>26.25</v>
      </c>
      <c r="N74" s="10">
        <v>1.2</v>
      </c>
    </row>
    <row r="75" spans="1:14" ht="15.75">
      <c r="A75" s="2">
        <v>366</v>
      </c>
      <c r="B75" s="3" t="s">
        <v>60</v>
      </c>
      <c r="C75" s="2">
        <v>80</v>
      </c>
      <c r="D75" s="4">
        <f>16.2*0.8</f>
        <v>12.96</v>
      </c>
      <c r="E75" s="4">
        <f>12*0.8</f>
        <v>9.6000000000000014</v>
      </c>
      <c r="F75" s="4">
        <f>0.3*0.8</f>
        <v>0.24</v>
      </c>
      <c r="G75" s="4">
        <f>174*0.8</f>
        <v>139.20000000000002</v>
      </c>
      <c r="H75" s="4">
        <f>0.04*0.8</f>
        <v>3.2000000000000001E-2</v>
      </c>
      <c r="I75" s="4">
        <f>0.4*0.8</f>
        <v>0.32000000000000006</v>
      </c>
      <c r="J75" s="4">
        <f>40*0.8</f>
        <v>32</v>
      </c>
      <c r="K75" s="4">
        <f>18*0.8</f>
        <v>14.4</v>
      </c>
      <c r="L75" s="4">
        <f>112*0.8</f>
        <v>89.600000000000009</v>
      </c>
      <c r="M75" s="4">
        <f>13*0.8</f>
        <v>10.4</v>
      </c>
      <c r="N75" s="4">
        <f>1.18*0.8</f>
        <v>0.94399999999999995</v>
      </c>
    </row>
    <row r="76" spans="1:14" ht="31.5">
      <c r="A76" s="9">
        <v>242</v>
      </c>
      <c r="B76" s="3" t="s">
        <v>77</v>
      </c>
      <c r="C76" s="9">
        <v>150</v>
      </c>
      <c r="D76" s="10">
        <v>4.59</v>
      </c>
      <c r="E76" s="10">
        <v>6.7350000000000003</v>
      </c>
      <c r="F76" s="19">
        <v>31.47</v>
      </c>
      <c r="G76" s="10">
        <v>209.25</v>
      </c>
      <c r="H76" s="10">
        <v>4.2000000000000003E-2</v>
      </c>
      <c r="I76" s="10">
        <v>0</v>
      </c>
      <c r="J76" s="10">
        <v>4.2999999999999997E-2</v>
      </c>
      <c r="K76" s="10">
        <v>19.5</v>
      </c>
      <c r="L76" s="10">
        <v>159.44999999999999</v>
      </c>
      <c r="M76" s="10">
        <v>19.5</v>
      </c>
      <c r="N76" s="10">
        <v>0.9</v>
      </c>
    </row>
    <row r="77" spans="1:14" ht="15.75">
      <c r="A77" s="9">
        <v>419</v>
      </c>
      <c r="B77" s="3" t="s">
        <v>42</v>
      </c>
      <c r="C77" s="9">
        <v>30</v>
      </c>
      <c r="D77" s="10">
        <f>9.5*0.03</f>
        <v>0.28499999999999998</v>
      </c>
      <c r="E77" s="10">
        <f>32.8*0.03</f>
        <v>0.98399999999999987</v>
      </c>
      <c r="F77" s="10">
        <f>46*0.03</f>
        <v>1.38</v>
      </c>
      <c r="G77" s="10">
        <f>519*0.03</f>
        <v>15.57</v>
      </c>
      <c r="H77" s="10">
        <f>0.12*0.03</f>
        <v>3.5999999999999999E-3</v>
      </c>
      <c r="I77" s="10">
        <f>11*0.03</f>
        <v>0.32999999999999996</v>
      </c>
      <c r="J77" s="10">
        <f>200*0.03</f>
        <v>6</v>
      </c>
      <c r="K77" s="10">
        <f>70*0.03</f>
        <v>2.1</v>
      </c>
      <c r="L77" s="10">
        <f>135*0.03</f>
        <v>4.05</v>
      </c>
      <c r="M77" s="10">
        <f>57*0.03</f>
        <v>1.71</v>
      </c>
      <c r="N77" s="10">
        <f>3.06*0.03</f>
        <v>9.1799999999999993E-2</v>
      </c>
    </row>
    <row r="78" spans="1:14" ht="15.75">
      <c r="A78" s="2">
        <v>573</v>
      </c>
      <c r="B78" s="3" t="s">
        <v>20</v>
      </c>
      <c r="C78" s="2">
        <v>50</v>
      </c>
      <c r="D78" s="4">
        <f>7.6*0.5</f>
        <v>3.8</v>
      </c>
      <c r="E78" s="4">
        <f>0.8*0.5</f>
        <v>0.4</v>
      </c>
      <c r="F78" s="4">
        <f>49.2*0.5</f>
        <v>24.6</v>
      </c>
      <c r="G78" s="4">
        <f>234*0.5</f>
        <v>117</v>
      </c>
      <c r="H78" s="4">
        <f>0.11*0.5</f>
        <v>5.5E-2</v>
      </c>
      <c r="I78" s="4">
        <v>0</v>
      </c>
      <c r="J78" s="4">
        <v>0</v>
      </c>
      <c r="K78" s="4">
        <f>20*0.5</f>
        <v>10</v>
      </c>
      <c r="L78" s="4">
        <f>65*0.5</f>
        <v>32.5</v>
      </c>
      <c r="M78" s="4">
        <f>14*0.5</f>
        <v>7</v>
      </c>
      <c r="N78" s="4">
        <f>1.1*0.5</f>
        <v>0.55000000000000004</v>
      </c>
    </row>
    <row r="79" spans="1:14" ht="15.75">
      <c r="A79" s="5">
        <v>494</v>
      </c>
      <c r="B79" s="3" t="s">
        <v>29</v>
      </c>
      <c r="C79" s="9">
        <v>200</v>
      </c>
      <c r="D79" s="10">
        <v>0.3</v>
      </c>
      <c r="E79" s="10">
        <v>0.01</v>
      </c>
      <c r="F79" s="10">
        <v>17.5</v>
      </c>
      <c r="G79" s="10">
        <v>72</v>
      </c>
      <c r="H79" s="10">
        <v>0</v>
      </c>
      <c r="I79" s="10">
        <v>0.1</v>
      </c>
      <c r="J79" s="10">
        <v>0</v>
      </c>
      <c r="K79" s="10">
        <v>16.399999999999999</v>
      </c>
      <c r="L79" s="10">
        <v>10.7</v>
      </c>
      <c r="M79" s="10">
        <v>4.3</v>
      </c>
      <c r="N79" s="10">
        <v>0.9</v>
      </c>
    </row>
    <row r="80" spans="1:14" ht="15.75">
      <c r="A80" s="5">
        <v>501</v>
      </c>
      <c r="B80" s="9" t="s">
        <v>38</v>
      </c>
      <c r="C80" s="9">
        <v>200</v>
      </c>
      <c r="D80" s="10">
        <v>1</v>
      </c>
      <c r="E80" s="10">
        <v>0.2</v>
      </c>
      <c r="F80" s="10">
        <v>20.2</v>
      </c>
      <c r="G80" s="10">
        <v>86</v>
      </c>
      <c r="H80" s="10">
        <v>0.02</v>
      </c>
      <c r="I80" s="10">
        <v>4</v>
      </c>
      <c r="J80" s="10">
        <v>0</v>
      </c>
      <c r="K80" s="10">
        <v>14</v>
      </c>
      <c r="L80" s="10">
        <v>14</v>
      </c>
      <c r="M80" s="10">
        <v>8</v>
      </c>
      <c r="N80" s="10">
        <v>2.8</v>
      </c>
    </row>
    <row r="81" spans="1:14" ht="15.75">
      <c r="A81" s="9"/>
      <c r="B81" s="6" t="s">
        <v>21</v>
      </c>
      <c r="C81" s="9"/>
      <c r="D81" s="12">
        <f>D74+D75+D76+D77+D78+D79+D80</f>
        <v>24.785</v>
      </c>
      <c r="E81" s="12">
        <f t="shared" ref="E81:N81" si="7">E74+E75+E76+E77+E78+E79+E80</f>
        <v>22.928999999999998</v>
      </c>
      <c r="F81" s="12">
        <f t="shared" si="7"/>
        <v>106.04</v>
      </c>
      <c r="G81" s="12">
        <f t="shared" si="7"/>
        <v>734.02</v>
      </c>
      <c r="H81" s="12">
        <f t="shared" si="7"/>
        <v>0.1996</v>
      </c>
      <c r="I81" s="12">
        <f t="shared" si="7"/>
        <v>15.05</v>
      </c>
      <c r="J81" s="12">
        <f t="shared" si="7"/>
        <v>38.042999999999999</v>
      </c>
      <c r="K81" s="12">
        <f t="shared" si="7"/>
        <v>110.9</v>
      </c>
      <c r="L81" s="12">
        <f t="shared" si="7"/>
        <v>363.3</v>
      </c>
      <c r="M81" s="12">
        <f t="shared" si="7"/>
        <v>77.16</v>
      </c>
      <c r="N81" s="12">
        <f t="shared" si="7"/>
        <v>7.3858000000000006</v>
      </c>
    </row>
    <row r="82" spans="1:14" ht="15.75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</row>
    <row r="83" spans="1:14" ht="15.75">
      <c r="A83" s="20" t="s">
        <v>33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1:14" ht="15.75">
      <c r="A84" s="36" t="s">
        <v>92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8"/>
    </row>
    <row r="85" spans="1:14" ht="15.75">
      <c r="A85" s="9">
        <v>110</v>
      </c>
      <c r="B85" s="3" t="s">
        <v>43</v>
      </c>
      <c r="C85" s="9">
        <v>250</v>
      </c>
      <c r="D85" s="10">
        <f>32/4</f>
        <v>8</v>
      </c>
      <c r="E85" s="10">
        <f>41.7/4</f>
        <v>10.425000000000001</v>
      </c>
      <c r="F85" s="10">
        <f>6.6/4</f>
        <v>1.65</v>
      </c>
      <c r="G85" s="10">
        <f>530/4</f>
        <v>132.5</v>
      </c>
      <c r="H85" s="10">
        <f>0.17/4</f>
        <v>4.2500000000000003E-2</v>
      </c>
      <c r="I85" s="10">
        <f>4.4/4</f>
        <v>1.1000000000000001</v>
      </c>
      <c r="J85" s="10">
        <f>80/4</f>
        <v>20</v>
      </c>
      <c r="K85" s="10">
        <f>100/4</f>
        <v>25</v>
      </c>
      <c r="L85" s="10">
        <f>355/4</f>
        <v>88.75</v>
      </c>
      <c r="M85" s="10">
        <f>64/4</f>
        <v>16</v>
      </c>
      <c r="N85" s="10">
        <f>5.6/4</f>
        <v>1.4</v>
      </c>
    </row>
    <row r="86" spans="1:14" ht="15.75">
      <c r="A86" s="9">
        <v>327</v>
      </c>
      <c r="B86" s="3" t="s">
        <v>35</v>
      </c>
      <c r="C86" s="9">
        <v>100</v>
      </c>
      <c r="D86" s="10">
        <v>20</v>
      </c>
      <c r="E86" s="10">
        <v>19.5</v>
      </c>
      <c r="F86" s="10">
        <v>3.3</v>
      </c>
      <c r="G86" s="10">
        <v>258</v>
      </c>
      <c r="H86" s="10">
        <v>0.03</v>
      </c>
      <c r="I86" s="10">
        <v>0</v>
      </c>
      <c r="J86" s="10">
        <v>26</v>
      </c>
      <c r="K86" s="10">
        <v>15</v>
      </c>
      <c r="L86" s="10">
        <v>162</v>
      </c>
      <c r="M86" s="10">
        <v>22</v>
      </c>
      <c r="N86" s="10">
        <v>2.76</v>
      </c>
    </row>
    <row r="87" spans="1:14" ht="15.75">
      <c r="A87" s="9">
        <v>386</v>
      </c>
      <c r="B87" s="9" t="s">
        <v>51</v>
      </c>
      <c r="C87" s="9">
        <v>150</v>
      </c>
      <c r="D87" s="10">
        <f>24*0.15</f>
        <v>3.5999999999999996</v>
      </c>
      <c r="E87" s="10">
        <f>36*0.15</f>
        <v>5.3999999999999995</v>
      </c>
      <c r="F87" s="10">
        <f>196*0.15</f>
        <v>29.4</v>
      </c>
      <c r="G87" s="10">
        <f>1208*0.15</f>
        <v>181.2</v>
      </c>
      <c r="H87" s="10">
        <f>0.16*0.15</f>
        <v>2.4E-2</v>
      </c>
      <c r="I87" s="10">
        <v>0</v>
      </c>
      <c r="J87" s="10">
        <f>171*0.15</f>
        <v>25.65</v>
      </c>
      <c r="K87" s="10">
        <f>40*0.15</f>
        <v>6</v>
      </c>
      <c r="L87" s="10">
        <f>419*0.15</f>
        <v>62.849999999999994</v>
      </c>
      <c r="M87" s="10">
        <f>130*0.15</f>
        <v>19.5</v>
      </c>
      <c r="N87" s="10">
        <f>0.84*0.15</f>
        <v>0.126</v>
      </c>
    </row>
    <row r="88" spans="1:14" ht="15.75">
      <c r="A88" s="2">
        <v>573</v>
      </c>
      <c r="B88" s="3" t="s">
        <v>20</v>
      </c>
      <c r="C88" s="2">
        <v>50</v>
      </c>
      <c r="D88" s="4">
        <f>7.6*0.5</f>
        <v>3.8</v>
      </c>
      <c r="E88" s="4">
        <f>0.8*0.5</f>
        <v>0.4</v>
      </c>
      <c r="F88" s="4">
        <f>49.2*0.5</f>
        <v>24.6</v>
      </c>
      <c r="G88" s="4">
        <f>234*0.5</f>
        <v>117</v>
      </c>
      <c r="H88" s="4">
        <f>0.11*0.5</f>
        <v>5.5E-2</v>
      </c>
      <c r="I88" s="4">
        <v>0</v>
      </c>
      <c r="J88" s="4">
        <v>0</v>
      </c>
      <c r="K88" s="4">
        <f>20*0.5</f>
        <v>10</v>
      </c>
      <c r="L88" s="4">
        <f>65*0.5</f>
        <v>32.5</v>
      </c>
      <c r="M88" s="4">
        <f>14*0.5</f>
        <v>7</v>
      </c>
      <c r="N88" s="4">
        <f>1.1*0.5</f>
        <v>0.55000000000000004</v>
      </c>
    </row>
    <row r="89" spans="1:14" ht="15.75">
      <c r="A89" s="2">
        <v>486</v>
      </c>
      <c r="B89" s="3" t="s">
        <v>44</v>
      </c>
      <c r="C89" s="2">
        <v>200</v>
      </c>
      <c r="D89" s="4">
        <v>0.1</v>
      </c>
      <c r="E89" s="4">
        <v>0.1</v>
      </c>
      <c r="F89" s="4">
        <v>11.1</v>
      </c>
      <c r="G89" s="4">
        <v>46</v>
      </c>
      <c r="H89" s="4">
        <v>0.01</v>
      </c>
      <c r="I89" s="4">
        <v>0.6</v>
      </c>
      <c r="J89" s="4">
        <v>0</v>
      </c>
      <c r="K89" s="4">
        <v>3.4</v>
      </c>
      <c r="L89" s="4">
        <v>2.1</v>
      </c>
      <c r="M89" s="4">
        <v>1.7</v>
      </c>
      <c r="N89" s="4">
        <v>0.46</v>
      </c>
    </row>
    <row r="90" spans="1:14" ht="15.75">
      <c r="A90" s="2">
        <v>82</v>
      </c>
      <c r="B90" s="3" t="s">
        <v>64</v>
      </c>
      <c r="C90" s="2">
        <v>100</v>
      </c>
      <c r="D90" s="4">
        <v>0.4</v>
      </c>
      <c r="E90" s="4">
        <v>0.4</v>
      </c>
      <c r="F90" s="4">
        <v>9.8000000000000007</v>
      </c>
      <c r="G90" s="4">
        <v>44</v>
      </c>
      <c r="H90" s="4">
        <v>0.03</v>
      </c>
      <c r="I90" s="4">
        <v>7</v>
      </c>
      <c r="J90" s="4">
        <v>0</v>
      </c>
      <c r="K90" s="4">
        <v>16.100000000000001</v>
      </c>
      <c r="L90" s="4">
        <v>11</v>
      </c>
      <c r="M90" s="4">
        <v>9</v>
      </c>
      <c r="N90" s="4">
        <v>2.21</v>
      </c>
    </row>
    <row r="91" spans="1:14" ht="15.75">
      <c r="A91" s="9"/>
      <c r="B91" s="6" t="s">
        <v>21</v>
      </c>
      <c r="C91" s="9"/>
      <c r="D91" s="12">
        <f>D85+D86+D87+D88+D89+D90</f>
        <v>35.9</v>
      </c>
      <c r="E91" s="12">
        <f t="shared" ref="E91:N91" si="8">E85+E86+E87+E88+E89+E90</f>
        <v>36.225000000000001</v>
      </c>
      <c r="F91" s="12">
        <f t="shared" si="8"/>
        <v>79.849999999999994</v>
      </c>
      <c r="G91" s="12">
        <f t="shared" si="8"/>
        <v>778.7</v>
      </c>
      <c r="H91" s="12">
        <f t="shared" si="8"/>
        <v>0.1915</v>
      </c>
      <c r="I91" s="12">
        <f t="shared" si="8"/>
        <v>8.6999999999999993</v>
      </c>
      <c r="J91" s="12">
        <f t="shared" si="8"/>
        <v>71.650000000000006</v>
      </c>
      <c r="K91" s="12">
        <f t="shared" si="8"/>
        <v>75.5</v>
      </c>
      <c r="L91" s="12">
        <f t="shared" si="8"/>
        <v>359.20000000000005</v>
      </c>
      <c r="M91" s="12">
        <f t="shared" si="8"/>
        <v>75.2</v>
      </c>
      <c r="N91" s="12">
        <f t="shared" si="8"/>
        <v>7.5060000000000002</v>
      </c>
    </row>
    <row r="92" spans="1:14" ht="15.75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</row>
    <row r="93" spans="1:14" ht="15.75">
      <c r="A93" s="20" t="s">
        <v>34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2"/>
    </row>
    <row r="94" spans="1:14" ht="15.75">
      <c r="A94" s="36" t="s">
        <v>92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8"/>
    </row>
    <row r="95" spans="1:14" ht="31.5">
      <c r="A95" s="9">
        <v>104</v>
      </c>
      <c r="B95" s="3" t="s">
        <v>78</v>
      </c>
      <c r="C95" s="13">
        <v>250</v>
      </c>
      <c r="D95" s="10">
        <f>6/4</f>
        <v>1.5</v>
      </c>
      <c r="E95" s="10">
        <f>18/4</f>
        <v>4.5</v>
      </c>
      <c r="F95" s="10">
        <f>15.2/4</f>
        <v>3.8</v>
      </c>
      <c r="G95" s="10">
        <f>247/4</f>
        <v>61.75</v>
      </c>
      <c r="H95" s="10">
        <f>0.17/4</f>
        <v>4.2500000000000003E-2</v>
      </c>
      <c r="I95" s="10">
        <f>34/4</f>
        <v>8.5</v>
      </c>
      <c r="J95" s="10">
        <v>0</v>
      </c>
      <c r="K95" s="10">
        <f>198/4</f>
        <v>49.5</v>
      </c>
      <c r="L95" s="10">
        <f>143/4</f>
        <v>35.75</v>
      </c>
      <c r="M95" s="10">
        <f>64/4</f>
        <v>16</v>
      </c>
      <c r="N95" s="10">
        <f>2.55/4</f>
        <v>0.63749999999999996</v>
      </c>
    </row>
    <row r="96" spans="1:14" ht="31.5">
      <c r="A96" s="9">
        <v>350</v>
      </c>
      <c r="B96" s="3" t="s">
        <v>79</v>
      </c>
      <c r="C96" s="13">
        <v>70</v>
      </c>
      <c r="D96" s="10">
        <f>8.4*1.14</f>
        <v>9.5759999999999987</v>
      </c>
      <c r="E96" s="10">
        <f>6.5*1.14</f>
        <v>7.4099999999999993</v>
      </c>
      <c r="F96" s="10">
        <f>9.7*1.14</f>
        <v>11.057999999999998</v>
      </c>
      <c r="G96" s="10">
        <f>131*1.14</f>
        <v>149.33999999999997</v>
      </c>
      <c r="H96" s="10">
        <f>0.04*1.14</f>
        <v>4.5599999999999995E-2</v>
      </c>
      <c r="I96" s="10">
        <v>0</v>
      </c>
      <c r="J96" s="10">
        <f>16*1.14</f>
        <v>18.239999999999998</v>
      </c>
      <c r="K96" s="10">
        <f>34*1.14</f>
        <v>38.76</v>
      </c>
      <c r="L96" s="10">
        <f>99*1.14</f>
        <v>112.85999999999999</v>
      </c>
      <c r="M96" s="10">
        <f>15*1.14</f>
        <v>17.099999999999998</v>
      </c>
      <c r="N96" s="10">
        <f>0.83*1.14</f>
        <v>0.94619999999999982</v>
      </c>
    </row>
    <row r="97" spans="1:14" ht="15.75">
      <c r="A97" s="2">
        <v>389</v>
      </c>
      <c r="B97" s="3" t="s">
        <v>80</v>
      </c>
      <c r="C97" s="14">
        <v>150</v>
      </c>
      <c r="D97" s="4">
        <f>22*0.73</f>
        <v>16.059999999999999</v>
      </c>
      <c r="E97" s="4">
        <f>5*0.73</f>
        <v>3.65</v>
      </c>
      <c r="F97" s="4">
        <f>39.7*0.73</f>
        <v>28.981000000000002</v>
      </c>
      <c r="G97" s="4">
        <f>292*0.73</f>
        <v>213.16</v>
      </c>
      <c r="H97" s="4">
        <f>0.47*0.73</f>
        <v>0.34309999999999996</v>
      </c>
      <c r="I97" s="4">
        <v>0</v>
      </c>
      <c r="J97" s="4">
        <f>20*0.73</f>
        <v>14.6</v>
      </c>
      <c r="K97" s="4">
        <f>91*0.73</f>
        <v>66.429999999999993</v>
      </c>
      <c r="L97" s="4">
        <f>218*0.73</f>
        <v>159.13999999999999</v>
      </c>
      <c r="M97" s="4">
        <f>87*0.73</f>
        <v>63.51</v>
      </c>
      <c r="N97" s="4">
        <f>6.89*0.73</f>
        <v>5.0297000000000001</v>
      </c>
    </row>
    <row r="98" spans="1:14" ht="15.75">
      <c r="A98" s="2">
        <v>148</v>
      </c>
      <c r="B98" s="3" t="s">
        <v>67</v>
      </c>
      <c r="C98" s="2">
        <v>40</v>
      </c>
      <c r="D98" s="4">
        <f>0.7*0.4</f>
        <v>0.27999999999999997</v>
      </c>
      <c r="E98" s="4">
        <f>0.1*0.4</f>
        <v>4.0000000000000008E-2</v>
      </c>
      <c r="F98" s="4">
        <f>1.9*0.4</f>
        <v>0.76</v>
      </c>
      <c r="G98" s="4">
        <f>11*0.4</f>
        <v>4.4000000000000004</v>
      </c>
      <c r="H98" s="4">
        <f>0.03*0.4</f>
        <v>1.2E-2</v>
      </c>
      <c r="I98" s="4">
        <f>3.5*0.4</f>
        <v>1.4000000000000001</v>
      </c>
      <c r="J98" s="4">
        <v>0</v>
      </c>
      <c r="K98" s="4">
        <f>17.8*0.4</f>
        <v>7.120000000000001</v>
      </c>
      <c r="L98" s="4">
        <f>30.3*0.4</f>
        <v>12.120000000000001</v>
      </c>
      <c r="M98" s="4">
        <f>14.1*0.4</f>
        <v>5.6400000000000006</v>
      </c>
      <c r="N98" s="4">
        <f>0.51*0.4</f>
        <v>0.20400000000000001</v>
      </c>
    </row>
    <row r="99" spans="1:14" ht="15.75">
      <c r="A99" s="2">
        <v>573</v>
      </c>
      <c r="B99" s="3" t="s">
        <v>20</v>
      </c>
      <c r="C99" s="2">
        <v>50</v>
      </c>
      <c r="D99" s="4">
        <f>7.6*0.5</f>
        <v>3.8</v>
      </c>
      <c r="E99" s="4">
        <f>0.8*0.5</f>
        <v>0.4</v>
      </c>
      <c r="F99" s="4">
        <f>49.2*0.5</f>
        <v>24.6</v>
      </c>
      <c r="G99" s="4">
        <f>234*0.5</f>
        <v>117</v>
      </c>
      <c r="H99" s="4">
        <f>0.11*0.5</f>
        <v>5.5E-2</v>
      </c>
      <c r="I99" s="4">
        <v>0</v>
      </c>
      <c r="J99" s="4">
        <v>0</v>
      </c>
      <c r="K99" s="4">
        <f>20*0.5</f>
        <v>10</v>
      </c>
      <c r="L99" s="4">
        <f>65*0.5</f>
        <v>32.5</v>
      </c>
      <c r="M99" s="4">
        <f>14*0.5</f>
        <v>7</v>
      </c>
      <c r="N99" s="4">
        <f>1.1*0.5</f>
        <v>0.55000000000000004</v>
      </c>
    </row>
    <row r="100" spans="1:14" ht="15.75">
      <c r="A100" s="5">
        <v>501</v>
      </c>
      <c r="B100" s="9" t="s">
        <v>38</v>
      </c>
      <c r="C100" s="9">
        <v>200</v>
      </c>
      <c r="D100" s="10">
        <v>1</v>
      </c>
      <c r="E100" s="10">
        <v>0.2</v>
      </c>
      <c r="F100" s="10">
        <v>20.2</v>
      </c>
      <c r="G100" s="10">
        <v>86</v>
      </c>
      <c r="H100" s="10">
        <v>0.02</v>
      </c>
      <c r="I100" s="10">
        <v>4</v>
      </c>
      <c r="J100" s="10">
        <v>0</v>
      </c>
      <c r="K100" s="10">
        <v>14</v>
      </c>
      <c r="L100" s="10">
        <v>14</v>
      </c>
      <c r="M100" s="10">
        <v>8</v>
      </c>
      <c r="N100" s="10">
        <v>2.8</v>
      </c>
    </row>
    <row r="101" spans="1:14" ht="15.75">
      <c r="A101" s="5" t="s">
        <v>18</v>
      </c>
      <c r="B101" s="3" t="s">
        <v>39</v>
      </c>
      <c r="C101" s="10">
        <v>50</v>
      </c>
      <c r="D101" s="10">
        <v>8</v>
      </c>
      <c r="E101" s="10">
        <v>9</v>
      </c>
      <c r="F101" s="10">
        <v>60</v>
      </c>
      <c r="G101" s="10">
        <v>336</v>
      </c>
      <c r="H101" s="10"/>
      <c r="I101" s="10"/>
      <c r="J101" s="10"/>
      <c r="K101" s="10"/>
      <c r="L101" s="10"/>
      <c r="M101" s="10"/>
      <c r="N101" s="10"/>
    </row>
    <row r="102" spans="1:14" ht="15.75">
      <c r="A102" s="9"/>
      <c r="B102" s="6" t="s">
        <v>21</v>
      </c>
      <c r="C102" s="10"/>
      <c r="D102" s="12">
        <f>D95+D96+D97+D98+D99+D100+D101</f>
        <v>40.215999999999994</v>
      </c>
      <c r="E102" s="12">
        <f t="shared" ref="E102:N102" si="9">E95+E96+E97+E98+E99+E100+E101</f>
        <v>25.2</v>
      </c>
      <c r="F102" s="12">
        <f t="shared" si="9"/>
        <v>149.399</v>
      </c>
      <c r="G102" s="12">
        <f t="shared" si="9"/>
        <v>967.65</v>
      </c>
      <c r="H102" s="12">
        <f t="shared" si="9"/>
        <v>0.51819999999999999</v>
      </c>
      <c r="I102" s="12">
        <f t="shared" si="9"/>
        <v>13.9</v>
      </c>
      <c r="J102" s="12">
        <f t="shared" si="9"/>
        <v>32.839999999999996</v>
      </c>
      <c r="K102" s="12">
        <f t="shared" si="9"/>
        <v>185.81</v>
      </c>
      <c r="L102" s="12">
        <f t="shared" si="9"/>
        <v>366.37</v>
      </c>
      <c r="M102" s="12">
        <f t="shared" si="9"/>
        <v>117.24999999999999</v>
      </c>
      <c r="N102" s="12">
        <f t="shared" si="9"/>
        <v>10.167400000000001</v>
      </c>
    </row>
    <row r="103" spans="1:14" ht="15.7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</row>
    <row r="104" spans="1:14" ht="15.75">
      <c r="A104" s="20" t="s">
        <v>36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2"/>
    </row>
    <row r="105" spans="1:14" ht="15.75">
      <c r="A105" s="36" t="s">
        <v>92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8"/>
    </row>
    <row r="106" spans="1:14" ht="31.5">
      <c r="A106" s="9">
        <v>298</v>
      </c>
      <c r="B106" s="3" t="s">
        <v>81</v>
      </c>
      <c r="C106" s="9">
        <v>80</v>
      </c>
      <c r="D106" s="10">
        <f>20*0.53</f>
        <v>10.600000000000001</v>
      </c>
      <c r="E106" s="10">
        <f>6*0.53</f>
        <v>3.18</v>
      </c>
      <c r="F106" s="10">
        <f>5*0.53</f>
        <v>2.6500000000000004</v>
      </c>
      <c r="G106" s="10">
        <f>154*0.53</f>
        <v>81.62</v>
      </c>
      <c r="H106" s="10">
        <f>0.1*0.53</f>
        <v>5.3000000000000005E-2</v>
      </c>
      <c r="I106" s="10">
        <f>3.3*0.53</f>
        <v>1.7489999999999999</v>
      </c>
      <c r="J106" s="10">
        <f>43*0.53</f>
        <v>22.790000000000003</v>
      </c>
      <c r="K106" s="10">
        <f>69*0.53</f>
        <v>36.57</v>
      </c>
      <c r="L106" s="10">
        <f>227*0.53</f>
        <v>120.31</v>
      </c>
      <c r="M106" s="10">
        <f>46*0.53</f>
        <v>24.380000000000003</v>
      </c>
      <c r="N106" s="10">
        <f>0.99*0.53</f>
        <v>0.52470000000000006</v>
      </c>
    </row>
    <row r="107" spans="1:14" ht="15.75">
      <c r="A107" s="9">
        <v>377</v>
      </c>
      <c r="B107" s="9" t="s">
        <v>41</v>
      </c>
      <c r="C107" s="9">
        <v>150</v>
      </c>
      <c r="D107" s="10">
        <f>2.7*1.5</f>
        <v>4.0500000000000007</v>
      </c>
      <c r="E107" s="10">
        <f>4*1.5</f>
        <v>6</v>
      </c>
      <c r="F107" s="10">
        <f>5.8*1.5</f>
        <v>8.6999999999999993</v>
      </c>
      <c r="G107" s="10">
        <f>70*1.5</f>
        <v>105</v>
      </c>
      <c r="H107" s="10">
        <f>0.08*1.5</f>
        <v>0.12</v>
      </c>
      <c r="I107" s="10">
        <f>2.4*1.5</f>
        <v>3.5999999999999996</v>
      </c>
      <c r="J107" s="10">
        <f>20*1.5</f>
        <v>30</v>
      </c>
      <c r="K107" s="10">
        <f>25*1.5</f>
        <v>37.5</v>
      </c>
      <c r="L107" s="10">
        <f>49*1.5</f>
        <v>73.5</v>
      </c>
      <c r="M107" s="10">
        <f>16*1.5</f>
        <v>24</v>
      </c>
      <c r="N107" s="10">
        <f>0.55*1.5</f>
        <v>0.82500000000000007</v>
      </c>
    </row>
    <row r="108" spans="1:14" ht="31.5">
      <c r="A108" s="9">
        <v>18</v>
      </c>
      <c r="B108" s="3" t="s">
        <v>82</v>
      </c>
      <c r="C108" s="5">
        <v>100</v>
      </c>
      <c r="D108" s="10">
        <f>1</f>
        <v>1</v>
      </c>
      <c r="E108" s="10">
        <f>6.1</f>
        <v>6.1</v>
      </c>
      <c r="F108" s="10">
        <f>3.5</f>
        <v>3.5</v>
      </c>
      <c r="G108" s="10">
        <f>73</f>
        <v>73</v>
      </c>
      <c r="H108" s="10">
        <f>0.05</f>
        <v>0.05</v>
      </c>
      <c r="I108" s="10">
        <f>13.4</f>
        <v>13.4</v>
      </c>
      <c r="J108" s="10">
        <v>0</v>
      </c>
      <c r="K108" s="10">
        <f>17</f>
        <v>17</v>
      </c>
      <c r="L108" s="10">
        <f>31</f>
        <v>31</v>
      </c>
      <c r="M108" s="10">
        <f>16</f>
        <v>16</v>
      </c>
      <c r="N108" s="10">
        <f>0.7</f>
        <v>0.7</v>
      </c>
    </row>
    <row r="109" spans="1:14" ht="15.75">
      <c r="A109" s="2">
        <v>573</v>
      </c>
      <c r="B109" s="3" t="s">
        <v>20</v>
      </c>
      <c r="C109" s="2">
        <v>50</v>
      </c>
      <c r="D109" s="4">
        <f>7.6*0.5</f>
        <v>3.8</v>
      </c>
      <c r="E109" s="4">
        <f>0.8*0.5</f>
        <v>0.4</v>
      </c>
      <c r="F109" s="4">
        <f>49.2*0.5</f>
        <v>24.6</v>
      </c>
      <c r="G109" s="4">
        <f>234*0.5</f>
        <v>117</v>
      </c>
      <c r="H109" s="4">
        <f>0.11*0.5</f>
        <v>5.5E-2</v>
      </c>
      <c r="I109" s="4">
        <v>0</v>
      </c>
      <c r="J109" s="4">
        <v>0</v>
      </c>
      <c r="K109" s="4">
        <f>20*0.5</f>
        <v>10</v>
      </c>
      <c r="L109" s="4">
        <f>65*0.5</f>
        <v>32.5</v>
      </c>
      <c r="M109" s="4">
        <f>14*0.5</f>
        <v>7</v>
      </c>
      <c r="N109" s="4">
        <f>1.1*0.5</f>
        <v>0.55000000000000004</v>
      </c>
    </row>
    <row r="110" spans="1:14" ht="15.75">
      <c r="A110" s="2">
        <v>457</v>
      </c>
      <c r="B110" s="3" t="s">
        <v>83</v>
      </c>
      <c r="C110" s="2">
        <v>200</v>
      </c>
      <c r="D110" s="4">
        <v>0.2</v>
      </c>
      <c r="E110" s="4">
        <v>0.1</v>
      </c>
      <c r="F110" s="4">
        <v>9.3000000000000007</v>
      </c>
      <c r="G110" s="4">
        <v>38</v>
      </c>
      <c r="H110" s="4">
        <v>0</v>
      </c>
      <c r="I110" s="4">
        <v>0</v>
      </c>
      <c r="J110" s="4">
        <v>0</v>
      </c>
      <c r="K110" s="4">
        <v>5.0999999999999996</v>
      </c>
      <c r="L110" s="4">
        <v>7.7</v>
      </c>
      <c r="M110" s="4">
        <v>4.2</v>
      </c>
      <c r="N110" s="4">
        <v>0.82</v>
      </c>
    </row>
    <row r="111" spans="1:14" ht="15.75">
      <c r="A111" s="5" t="s">
        <v>57</v>
      </c>
      <c r="B111" s="3" t="s">
        <v>58</v>
      </c>
      <c r="C111" s="2" t="s">
        <v>59</v>
      </c>
      <c r="D111" s="4">
        <f>7.5+23.2/5</f>
        <v>12.14</v>
      </c>
      <c r="E111" s="4">
        <f>2.9+29.5/5</f>
        <v>8.8000000000000007</v>
      </c>
      <c r="F111" s="4">
        <f>51.4</f>
        <v>51.4</v>
      </c>
      <c r="G111" s="4">
        <f>261+358/5</f>
        <v>332.6</v>
      </c>
      <c r="H111" s="4">
        <f>0.11+0.4/5</f>
        <v>0.19</v>
      </c>
      <c r="I111" s="4">
        <v>0.7</v>
      </c>
      <c r="J111" s="4">
        <v>260</v>
      </c>
      <c r="K111" s="4">
        <f>19+881/5</f>
        <v>195.2</v>
      </c>
      <c r="L111" s="4">
        <f>65+500/5</f>
        <v>165</v>
      </c>
      <c r="M111" s="4">
        <f>13+35/5</f>
        <v>20</v>
      </c>
      <c r="N111" s="4">
        <f>1.2+1/5</f>
        <v>1.4</v>
      </c>
    </row>
    <row r="112" spans="1:14" ht="15.75">
      <c r="A112" s="2">
        <v>82</v>
      </c>
      <c r="B112" s="3" t="s">
        <v>64</v>
      </c>
      <c r="C112" s="2">
        <v>100</v>
      </c>
      <c r="D112" s="4">
        <v>0.4</v>
      </c>
      <c r="E112" s="4">
        <v>0.4</v>
      </c>
      <c r="F112" s="4">
        <v>9.8000000000000007</v>
      </c>
      <c r="G112" s="4">
        <v>44</v>
      </c>
      <c r="H112" s="4">
        <v>0.03</v>
      </c>
      <c r="I112" s="4">
        <v>7</v>
      </c>
      <c r="J112" s="4">
        <v>0</v>
      </c>
      <c r="K112" s="4">
        <v>16.100000000000001</v>
      </c>
      <c r="L112" s="4">
        <v>11</v>
      </c>
      <c r="M112" s="4">
        <v>9</v>
      </c>
      <c r="N112" s="4">
        <v>2.21</v>
      </c>
    </row>
    <row r="113" spans="1:14" ht="15.75">
      <c r="A113" s="9"/>
      <c r="B113" s="6" t="s">
        <v>21</v>
      </c>
      <c r="C113" s="11"/>
      <c r="D113" s="12">
        <f t="shared" ref="D113:N113" si="10">D106+D107+D108+D109+D110+D111+D112</f>
        <v>32.190000000000005</v>
      </c>
      <c r="E113" s="12">
        <f t="shared" si="10"/>
        <v>24.979999999999997</v>
      </c>
      <c r="F113" s="12">
        <f t="shared" si="10"/>
        <v>109.95</v>
      </c>
      <c r="G113" s="12">
        <f t="shared" si="10"/>
        <v>791.22</v>
      </c>
      <c r="H113" s="12">
        <f t="shared" si="10"/>
        <v>0.498</v>
      </c>
      <c r="I113" s="12">
        <f t="shared" si="10"/>
        <v>26.448999999999998</v>
      </c>
      <c r="J113" s="12">
        <f t="shared" si="10"/>
        <v>312.79000000000002</v>
      </c>
      <c r="K113" s="12">
        <f t="shared" si="10"/>
        <v>317.47000000000003</v>
      </c>
      <c r="L113" s="12">
        <f t="shared" si="10"/>
        <v>441.01</v>
      </c>
      <c r="M113" s="12">
        <f t="shared" si="10"/>
        <v>104.58</v>
      </c>
      <c r="N113" s="12">
        <f t="shared" si="10"/>
        <v>7.0297000000000001</v>
      </c>
    </row>
    <row r="114" spans="1:14" ht="15.75">
      <c r="A114" s="15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.75">
      <c r="A115" s="20" t="s">
        <v>45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2"/>
    </row>
    <row r="116" spans="1:14" ht="15.75">
      <c r="A116" s="36" t="s">
        <v>92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8"/>
    </row>
    <row r="117" spans="1:14" ht="31.5">
      <c r="A117" s="9">
        <v>129</v>
      </c>
      <c r="B117" s="3" t="s">
        <v>73</v>
      </c>
      <c r="C117" s="9">
        <v>250</v>
      </c>
      <c r="D117" s="10">
        <f>11.6/4</f>
        <v>2.9</v>
      </c>
      <c r="E117" s="10">
        <f>16.6/4</f>
        <v>4.1500000000000004</v>
      </c>
      <c r="F117" s="10">
        <f>48.8/4</f>
        <v>12.2</v>
      </c>
      <c r="G117" s="10">
        <f>391/4</f>
        <v>97.75</v>
      </c>
      <c r="H117" s="10">
        <f>0.27/4</f>
        <v>6.7500000000000004E-2</v>
      </c>
      <c r="I117" s="10">
        <f>15.2/4</f>
        <v>3.8</v>
      </c>
      <c r="J117" s="10">
        <f>8.5/4</f>
        <v>2.125</v>
      </c>
      <c r="K117" s="10">
        <f>64/4</f>
        <v>16</v>
      </c>
      <c r="L117" s="10">
        <f>187/4</f>
        <v>46.75</v>
      </c>
      <c r="M117" s="10">
        <f>68/4</f>
        <v>17</v>
      </c>
      <c r="N117" s="10">
        <f>3.26/4</f>
        <v>0.81499999999999995</v>
      </c>
    </row>
    <row r="118" spans="1:14" ht="15.75">
      <c r="A118" s="2">
        <v>225</v>
      </c>
      <c r="B118" s="3" t="s">
        <v>84</v>
      </c>
      <c r="C118" s="2">
        <v>150</v>
      </c>
      <c r="D118" s="4">
        <f>42.4*0.14</f>
        <v>5.9359999999999999</v>
      </c>
      <c r="E118" s="4">
        <f>38.4*0.14</f>
        <v>5.3760000000000003</v>
      </c>
      <c r="F118" s="4">
        <f>185.8*0.14</f>
        <v>26.012000000000004</v>
      </c>
      <c r="G118" s="4">
        <f>1258*0.14</f>
        <v>176.12</v>
      </c>
      <c r="H118" s="4">
        <f>0.92*0.14</f>
        <v>0.12880000000000003</v>
      </c>
      <c r="I118" s="4">
        <f>6.2*0.14</f>
        <v>0.8680000000000001</v>
      </c>
      <c r="J118" s="4">
        <f>191*0.14</f>
        <v>26.740000000000002</v>
      </c>
      <c r="K118" s="4">
        <f>651*0.14</f>
        <v>91.140000000000015</v>
      </c>
      <c r="L118" s="4">
        <f>1012*0.14</f>
        <v>141.68</v>
      </c>
      <c r="M118" s="4">
        <f>272*0.14</f>
        <v>38.080000000000005</v>
      </c>
      <c r="N118" s="4">
        <f>7.27*0.14</f>
        <v>1.0178</v>
      </c>
    </row>
    <row r="119" spans="1:14" ht="31.5">
      <c r="A119" s="9">
        <v>372</v>
      </c>
      <c r="B119" s="3" t="s">
        <v>85</v>
      </c>
      <c r="C119" s="5">
        <v>70</v>
      </c>
      <c r="D119" s="10">
        <v>14</v>
      </c>
      <c r="E119" s="10">
        <v>12.6</v>
      </c>
      <c r="F119" s="10">
        <v>7.5</v>
      </c>
      <c r="G119" s="10">
        <v>199</v>
      </c>
      <c r="H119" s="10">
        <v>7.0000000000000007E-2</v>
      </c>
      <c r="I119" s="10">
        <v>0.6</v>
      </c>
      <c r="J119" s="10">
        <v>51</v>
      </c>
      <c r="K119" s="10">
        <v>34</v>
      </c>
      <c r="L119" s="10">
        <v>128</v>
      </c>
      <c r="M119" s="10">
        <v>17</v>
      </c>
      <c r="N119" s="10">
        <v>1.27</v>
      </c>
    </row>
    <row r="120" spans="1:14" ht="15.75">
      <c r="A120" s="2">
        <v>464</v>
      </c>
      <c r="B120" s="3" t="s">
        <v>86</v>
      </c>
      <c r="C120" s="2">
        <v>200</v>
      </c>
      <c r="D120" s="4">
        <v>1.4</v>
      </c>
      <c r="E120" s="4">
        <v>1.2</v>
      </c>
      <c r="F120" s="4">
        <v>11.4</v>
      </c>
      <c r="G120" s="4">
        <v>63</v>
      </c>
      <c r="H120" s="4">
        <v>0.02</v>
      </c>
      <c r="I120" s="4">
        <v>0.3</v>
      </c>
      <c r="J120" s="4">
        <v>9.5</v>
      </c>
      <c r="K120" s="4">
        <v>54.3</v>
      </c>
      <c r="L120" s="4">
        <v>38.299999999999997</v>
      </c>
      <c r="M120" s="4">
        <v>6.3</v>
      </c>
      <c r="N120" s="4">
        <v>7.0000000000000007E-2</v>
      </c>
    </row>
    <row r="121" spans="1:14" ht="15.75">
      <c r="A121" s="2">
        <v>573</v>
      </c>
      <c r="B121" s="3" t="s">
        <v>20</v>
      </c>
      <c r="C121" s="2">
        <v>50</v>
      </c>
      <c r="D121" s="4">
        <f>7.6*0.5</f>
        <v>3.8</v>
      </c>
      <c r="E121" s="4">
        <f>0.8*0.5</f>
        <v>0.4</v>
      </c>
      <c r="F121" s="4">
        <f>49.2*0.5</f>
        <v>24.6</v>
      </c>
      <c r="G121" s="4">
        <f>234*0.5</f>
        <v>117</v>
      </c>
      <c r="H121" s="4">
        <f>0.11*0.5</f>
        <v>5.5E-2</v>
      </c>
      <c r="I121" s="4">
        <v>0</v>
      </c>
      <c r="J121" s="4">
        <v>0</v>
      </c>
      <c r="K121" s="4">
        <f>20*0.5</f>
        <v>10</v>
      </c>
      <c r="L121" s="4">
        <f>65*0.5</f>
        <v>32.5</v>
      </c>
      <c r="M121" s="4">
        <f>14*0.5</f>
        <v>7</v>
      </c>
      <c r="N121" s="4">
        <f>1.1*0.5</f>
        <v>0.55000000000000004</v>
      </c>
    </row>
    <row r="122" spans="1:14" ht="15.75">
      <c r="A122" s="5" t="s">
        <v>18</v>
      </c>
      <c r="B122" s="3" t="s">
        <v>39</v>
      </c>
      <c r="C122" s="2">
        <v>50</v>
      </c>
      <c r="D122" s="4">
        <v>8</v>
      </c>
      <c r="E122" s="4">
        <v>9</v>
      </c>
      <c r="F122" s="4">
        <v>60</v>
      </c>
      <c r="G122" s="4">
        <v>336</v>
      </c>
      <c r="H122" s="4"/>
      <c r="I122" s="4"/>
      <c r="J122" s="4"/>
      <c r="K122" s="4"/>
      <c r="L122" s="4"/>
      <c r="M122" s="4"/>
      <c r="N122" s="4"/>
    </row>
    <row r="123" spans="1:14" ht="15.75">
      <c r="A123" s="5"/>
      <c r="B123" s="3"/>
      <c r="C123" s="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9"/>
      <c r="B124" s="6" t="s">
        <v>21</v>
      </c>
      <c r="C124" s="9"/>
      <c r="D124" s="12">
        <f>D117+D118+D119+D120+D121+D122+D123</f>
        <v>36.036000000000001</v>
      </c>
      <c r="E124" s="12">
        <f t="shared" ref="E124:N124" si="11">E117+E118+E119+E120+E121+E122+E123</f>
        <v>32.725999999999999</v>
      </c>
      <c r="F124" s="12">
        <f t="shared" si="11"/>
        <v>141.71199999999999</v>
      </c>
      <c r="G124" s="12">
        <f t="shared" si="11"/>
        <v>988.87</v>
      </c>
      <c r="H124" s="12">
        <f t="shared" si="11"/>
        <v>0.34130000000000005</v>
      </c>
      <c r="I124" s="12">
        <f t="shared" si="11"/>
        <v>5.5679999999999996</v>
      </c>
      <c r="J124" s="12">
        <f t="shared" si="11"/>
        <v>89.365000000000009</v>
      </c>
      <c r="K124" s="12">
        <f t="shared" si="11"/>
        <v>205.44</v>
      </c>
      <c r="L124" s="12">
        <f t="shared" si="11"/>
        <v>387.23</v>
      </c>
      <c r="M124" s="12">
        <f t="shared" si="11"/>
        <v>85.38000000000001</v>
      </c>
      <c r="N124" s="12">
        <f t="shared" si="11"/>
        <v>3.7228000000000003</v>
      </c>
    </row>
    <row r="125" spans="1:14" ht="15.75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</row>
    <row r="126" spans="1:14" ht="15.75">
      <c r="A126" s="20" t="s">
        <v>88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2"/>
    </row>
    <row r="127" spans="1:14" ht="15.75">
      <c r="A127" s="36" t="s">
        <v>92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8"/>
    </row>
    <row r="128" spans="1:14" ht="31.5">
      <c r="A128" s="2">
        <v>154</v>
      </c>
      <c r="B128" s="3" t="s">
        <v>40</v>
      </c>
      <c r="C128" s="2">
        <v>250</v>
      </c>
      <c r="D128" s="4">
        <v>2.13</v>
      </c>
      <c r="E128" s="4">
        <v>5.0999999999999996</v>
      </c>
      <c r="F128" s="4">
        <v>14.55</v>
      </c>
      <c r="G128" s="4">
        <v>112.5</v>
      </c>
      <c r="H128" s="4">
        <f>0.3/4</f>
        <v>7.4999999999999997E-2</v>
      </c>
      <c r="I128" s="4">
        <f>17.4/4</f>
        <v>4.3499999999999996</v>
      </c>
      <c r="J128" s="4">
        <v>0</v>
      </c>
      <c r="K128" s="4">
        <f>115/4</f>
        <v>28.75</v>
      </c>
      <c r="L128" s="4">
        <f>257/4</f>
        <v>64.25</v>
      </c>
      <c r="M128" s="4">
        <f>98/4</f>
        <v>24.5</v>
      </c>
      <c r="N128" s="4">
        <f>3.61/4</f>
        <v>0.90249999999999997</v>
      </c>
    </row>
    <row r="129" spans="1:14" ht="15.75">
      <c r="A129" s="2">
        <v>256</v>
      </c>
      <c r="B129" s="3" t="s">
        <v>19</v>
      </c>
      <c r="C129" s="2">
        <v>120</v>
      </c>
      <c r="D129" s="4">
        <f>3.7*1.2</f>
        <v>4.4400000000000004</v>
      </c>
      <c r="E129" s="4">
        <f>3.3*1.2</f>
        <v>3.9599999999999995</v>
      </c>
      <c r="F129" s="4">
        <f>19.7*1.2</f>
        <v>23.639999999999997</v>
      </c>
      <c r="G129" s="4">
        <f>123*1.2</f>
        <v>147.6</v>
      </c>
      <c r="H129" s="4">
        <f>0.04*1.2</f>
        <v>4.8000000000000001E-2</v>
      </c>
      <c r="I129" s="4">
        <v>0</v>
      </c>
      <c r="J129" s="4">
        <f>21*1.2</f>
        <v>25.2</v>
      </c>
      <c r="K129" s="4">
        <f>8*1.2</f>
        <v>9.6</v>
      </c>
      <c r="L129" s="4">
        <f>30*1.2</f>
        <v>36</v>
      </c>
      <c r="M129" s="4">
        <f>5*1.2</f>
        <v>6</v>
      </c>
      <c r="N129" s="4">
        <f>0.7*1.2</f>
        <v>0.84</v>
      </c>
    </row>
    <row r="130" spans="1:14" ht="15.75">
      <c r="A130" s="9">
        <v>367</v>
      </c>
      <c r="B130" s="3" t="s">
        <v>87</v>
      </c>
      <c r="C130" s="9">
        <v>120</v>
      </c>
      <c r="D130" s="10">
        <v>34.5</v>
      </c>
      <c r="E130" s="10">
        <v>41.6</v>
      </c>
      <c r="F130" s="10">
        <v>5.44</v>
      </c>
      <c r="G130" s="10">
        <v>534.29</v>
      </c>
      <c r="H130" s="10">
        <f>0.04*0.86</f>
        <v>3.44E-2</v>
      </c>
      <c r="I130" s="10">
        <f>0.5*0.86</f>
        <v>0.43</v>
      </c>
      <c r="J130" s="10">
        <f>74*0.86</f>
        <v>63.64</v>
      </c>
      <c r="K130" s="10">
        <f>25*0.86</f>
        <v>21.5</v>
      </c>
      <c r="L130" s="10">
        <f>69*0.86</f>
        <v>59.339999999999996</v>
      </c>
      <c r="M130" s="10">
        <f>18*0.86</f>
        <v>15.48</v>
      </c>
      <c r="N130" s="10">
        <f>1.16*0.86</f>
        <v>0.99759999999999993</v>
      </c>
    </row>
    <row r="131" spans="1:14" ht="15.75">
      <c r="A131" s="2">
        <v>573</v>
      </c>
      <c r="B131" s="3" t="s">
        <v>20</v>
      </c>
      <c r="C131" s="2">
        <v>50</v>
      </c>
      <c r="D131" s="4">
        <f>7.6*0.5</f>
        <v>3.8</v>
      </c>
      <c r="E131" s="4">
        <f>0.8*0.5</f>
        <v>0.4</v>
      </c>
      <c r="F131" s="4">
        <f>49.2*0.5</f>
        <v>24.6</v>
      </c>
      <c r="G131" s="4">
        <f>234*0.5</f>
        <v>117</v>
      </c>
      <c r="H131" s="4">
        <f>0.11*0.5</f>
        <v>5.5E-2</v>
      </c>
      <c r="I131" s="4">
        <v>0</v>
      </c>
      <c r="J131" s="4">
        <v>0</v>
      </c>
      <c r="K131" s="4">
        <f>20*0.5</f>
        <v>10</v>
      </c>
      <c r="L131" s="4">
        <f>65*0.5</f>
        <v>32.5</v>
      </c>
      <c r="M131" s="4">
        <f>14*0.5</f>
        <v>7</v>
      </c>
      <c r="N131" s="4">
        <f>1.1*0.5</f>
        <v>0.55000000000000004</v>
      </c>
    </row>
    <row r="132" spans="1:14" ht="15.75">
      <c r="A132" s="5">
        <v>497</v>
      </c>
      <c r="B132" s="3" t="s">
        <v>37</v>
      </c>
      <c r="C132" s="2">
        <v>200</v>
      </c>
      <c r="D132" s="4">
        <v>0.1</v>
      </c>
      <c r="E132" s="4">
        <v>0.04</v>
      </c>
      <c r="F132" s="4">
        <v>9.9</v>
      </c>
      <c r="G132" s="4">
        <v>41</v>
      </c>
      <c r="H132" s="4">
        <v>0</v>
      </c>
      <c r="I132" s="4">
        <v>1.1000000000000001</v>
      </c>
      <c r="J132" s="4">
        <v>0</v>
      </c>
      <c r="K132" s="4">
        <v>3</v>
      </c>
      <c r="L132" s="4">
        <v>2</v>
      </c>
      <c r="M132" s="4">
        <v>2.9</v>
      </c>
      <c r="N132" s="4">
        <v>0.15</v>
      </c>
    </row>
    <row r="133" spans="1:14" ht="15.75">
      <c r="A133" s="5">
        <v>501</v>
      </c>
      <c r="B133" s="9" t="s">
        <v>38</v>
      </c>
      <c r="C133" s="9">
        <v>200</v>
      </c>
      <c r="D133" s="10">
        <v>1</v>
      </c>
      <c r="E133" s="10">
        <v>0.2</v>
      </c>
      <c r="F133" s="10">
        <v>20.2</v>
      </c>
      <c r="G133" s="10">
        <v>86</v>
      </c>
      <c r="H133" s="10">
        <v>0.02</v>
      </c>
      <c r="I133" s="10">
        <v>4</v>
      </c>
      <c r="J133" s="10">
        <v>0</v>
      </c>
      <c r="K133" s="10">
        <v>14</v>
      </c>
      <c r="L133" s="10">
        <v>14</v>
      </c>
      <c r="M133" s="10">
        <v>8</v>
      </c>
      <c r="N133" s="10">
        <v>2.8</v>
      </c>
    </row>
    <row r="134" spans="1:14" ht="15.75">
      <c r="A134" s="2"/>
      <c r="B134" s="3"/>
      <c r="C134" s="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5.75">
      <c r="A135" s="9"/>
      <c r="B135" s="6" t="s">
        <v>21</v>
      </c>
      <c r="C135" s="9"/>
      <c r="D135" s="12">
        <f>D128+D129+D130+D131+D132+D133+D134</f>
        <v>45.97</v>
      </c>
      <c r="E135" s="12">
        <f t="shared" ref="E135:N135" si="12">E128+E129+E130+E131+E132+E133+E134</f>
        <v>51.3</v>
      </c>
      <c r="F135" s="12">
        <f t="shared" si="12"/>
        <v>98.33</v>
      </c>
      <c r="G135" s="12">
        <f t="shared" si="12"/>
        <v>1038.3899999999999</v>
      </c>
      <c r="H135" s="12">
        <f t="shared" si="12"/>
        <v>0.23239999999999997</v>
      </c>
      <c r="I135" s="12">
        <f t="shared" si="12"/>
        <v>9.879999999999999</v>
      </c>
      <c r="J135" s="12">
        <f t="shared" si="12"/>
        <v>88.84</v>
      </c>
      <c r="K135" s="12">
        <f t="shared" si="12"/>
        <v>86.85</v>
      </c>
      <c r="L135" s="12">
        <f t="shared" si="12"/>
        <v>208.09</v>
      </c>
      <c r="M135" s="12">
        <f t="shared" si="12"/>
        <v>63.88</v>
      </c>
      <c r="N135" s="12">
        <f t="shared" si="12"/>
        <v>6.2401</v>
      </c>
    </row>
    <row r="136" spans="1:14" ht="15.75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5"/>
    </row>
    <row r="137" spans="1:14" ht="15.75">
      <c r="A137" s="20" t="s">
        <v>46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2"/>
    </row>
    <row r="138" spans="1:14" ht="15.75">
      <c r="A138" s="36" t="s">
        <v>92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8"/>
    </row>
    <row r="139" spans="1:14" ht="15.75">
      <c r="A139" s="9">
        <v>328</v>
      </c>
      <c r="B139" s="3" t="s">
        <v>52</v>
      </c>
      <c r="C139" s="9">
        <v>220</v>
      </c>
      <c r="D139" s="10">
        <f>18.8*1.1</f>
        <v>20.680000000000003</v>
      </c>
      <c r="E139" s="10">
        <f>1.1*14.3</f>
        <v>15.730000000000002</v>
      </c>
      <c r="F139" s="10">
        <f>1.1*25.8</f>
        <v>28.380000000000003</v>
      </c>
      <c r="G139" s="10">
        <f>1.1*307</f>
        <v>337.70000000000005</v>
      </c>
      <c r="H139" s="10">
        <f>1.1*0.18</f>
        <v>0.19800000000000001</v>
      </c>
      <c r="I139" s="10">
        <f>1.1*15</f>
        <v>16.5</v>
      </c>
      <c r="J139" s="10">
        <f>1.1*24</f>
        <v>26.400000000000002</v>
      </c>
      <c r="K139" s="10">
        <f>1.1*31</f>
        <v>34.1</v>
      </c>
      <c r="L139" s="10">
        <f>1.1*209</f>
        <v>229.9</v>
      </c>
      <c r="M139" s="10">
        <f>1.1*54</f>
        <v>59.400000000000006</v>
      </c>
      <c r="N139" s="10">
        <f>1.1*3.36</f>
        <v>3.6960000000000002</v>
      </c>
    </row>
    <row r="140" spans="1:14" ht="31.5">
      <c r="A140" s="9">
        <v>18</v>
      </c>
      <c r="B140" s="3" t="s">
        <v>82</v>
      </c>
      <c r="C140" s="5">
        <v>100</v>
      </c>
      <c r="D140" s="10">
        <f>1</f>
        <v>1</v>
      </c>
      <c r="E140" s="10">
        <f>6.1</f>
        <v>6.1</v>
      </c>
      <c r="F140" s="10">
        <f>3.5</f>
        <v>3.5</v>
      </c>
      <c r="G140" s="10">
        <f>73</f>
        <v>73</v>
      </c>
      <c r="H140" s="10">
        <f>0.05</f>
        <v>0.05</v>
      </c>
      <c r="I140" s="10">
        <f>13.4</f>
        <v>13.4</v>
      </c>
      <c r="J140" s="10">
        <v>0</v>
      </c>
      <c r="K140" s="10">
        <f>17</f>
        <v>17</v>
      </c>
      <c r="L140" s="10">
        <f>31</f>
        <v>31</v>
      </c>
      <c r="M140" s="10">
        <f>16</f>
        <v>16</v>
      </c>
      <c r="N140" s="10">
        <f>0.7</f>
        <v>0.7</v>
      </c>
    </row>
    <row r="141" spans="1:14" ht="15.75">
      <c r="A141" s="2">
        <v>573</v>
      </c>
      <c r="B141" s="3" t="s">
        <v>20</v>
      </c>
      <c r="C141" s="2">
        <v>50</v>
      </c>
      <c r="D141" s="4">
        <f>7.6*0.5</f>
        <v>3.8</v>
      </c>
      <c r="E141" s="4">
        <f>0.8*0.5</f>
        <v>0.4</v>
      </c>
      <c r="F141" s="4">
        <f>49.2*0.5</f>
        <v>24.6</v>
      </c>
      <c r="G141" s="4">
        <f>234*0.5</f>
        <v>117</v>
      </c>
      <c r="H141" s="4">
        <f>0.11*0.5</f>
        <v>5.5E-2</v>
      </c>
      <c r="I141" s="4">
        <v>0</v>
      </c>
      <c r="J141" s="4">
        <v>0</v>
      </c>
      <c r="K141" s="4">
        <f>20*0.5</f>
        <v>10</v>
      </c>
      <c r="L141" s="4">
        <f>65*0.5</f>
        <v>32.5</v>
      </c>
      <c r="M141" s="4">
        <f>14*0.5</f>
        <v>7</v>
      </c>
      <c r="N141" s="4">
        <f>1.1*0.5</f>
        <v>0.55000000000000004</v>
      </c>
    </row>
    <row r="142" spans="1:14" ht="15.75">
      <c r="A142" s="5">
        <v>459</v>
      </c>
      <c r="B142" s="3" t="s">
        <v>28</v>
      </c>
      <c r="C142" s="2" t="s">
        <v>56</v>
      </c>
      <c r="D142" s="4">
        <v>0.3</v>
      </c>
      <c r="E142" s="4">
        <v>0.1</v>
      </c>
      <c r="F142" s="4">
        <v>9.5</v>
      </c>
      <c r="G142" s="4">
        <v>40</v>
      </c>
      <c r="H142" s="4">
        <v>0</v>
      </c>
      <c r="I142" s="4">
        <v>0</v>
      </c>
      <c r="J142" s="4">
        <v>1</v>
      </c>
      <c r="K142" s="4">
        <v>7.9</v>
      </c>
      <c r="L142" s="4">
        <v>9.1</v>
      </c>
      <c r="M142" s="4">
        <v>5</v>
      </c>
      <c r="N142" s="4">
        <v>0.87</v>
      </c>
    </row>
    <row r="143" spans="1:14" ht="15.75">
      <c r="A143" s="2">
        <v>82</v>
      </c>
      <c r="B143" s="3" t="s">
        <v>64</v>
      </c>
      <c r="C143" s="2">
        <v>100</v>
      </c>
      <c r="D143" s="4">
        <v>0.4</v>
      </c>
      <c r="E143" s="4">
        <v>0.4</v>
      </c>
      <c r="F143" s="4">
        <v>9.8000000000000007</v>
      </c>
      <c r="G143" s="4">
        <v>44</v>
      </c>
      <c r="H143" s="4">
        <v>0.03</v>
      </c>
      <c r="I143" s="4">
        <v>7</v>
      </c>
      <c r="J143" s="4">
        <v>0</v>
      </c>
      <c r="K143" s="4">
        <v>16.100000000000001</v>
      </c>
      <c r="L143" s="4">
        <v>11</v>
      </c>
      <c r="M143" s="4">
        <v>9</v>
      </c>
      <c r="N143" s="4">
        <v>2.21</v>
      </c>
    </row>
    <row r="144" spans="1:14" ht="15.75">
      <c r="A144" s="5" t="s">
        <v>57</v>
      </c>
      <c r="B144" s="3" t="s">
        <v>58</v>
      </c>
      <c r="C144" s="2" t="s">
        <v>59</v>
      </c>
      <c r="D144" s="4">
        <f>7.5+23.2/5</f>
        <v>12.14</v>
      </c>
      <c r="E144" s="4">
        <f>2.9+29.5/5</f>
        <v>8.8000000000000007</v>
      </c>
      <c r="F144" s="4">
        <f>51.4</f>
        <v>51.4</v>
      </c>
      <c r="G144" s="4">
        <f>261+358/5</f>
        <v>332.6</v>
      </c>
      <c r="H144" s="4">
        <f>0.11+0.4/5</f>
        <v>0.19</v>
      </c>
      <c r="I144" s="4">
        <v>0.7</v>
      </c>
      <c r="J144" s="4">
        <v>260</v>
      </c>
      <c r="K144" s="4">
        <f>19+881/5</f>
        <v>195.2</v>
      </c>
      <c r="L144" s="4">
        <f>65+500/5</f>
        <v>165</v>
      </c>
      <c r="M144" s="4">
        <f>13+35/5</f>
        <v>20</v>
      </c>
      <c r="N144" s="4">
        <f>1.2+1/5</f>
        <v>1.4</v>
      </c>
    </row>
    <row r="145" spans="1:14" ht="15.75">
      <c r="A145" s="9"/>
      <c r="B145" s="6" t="s">
        <v>21</v>
      </c>
      <c r="C145" s="9"/>
      <c r="D145" s="12">
        <f>D139+D140+D141+D142+D143+D144</f>
        <v>38.320000000000007</v>
      </c>
      <c r="E145" s="12">
        <f t="shared" ref="E145:N145" si="13">E139+E140+E141+E142+E143+E144</f>
        <v>31.53</v>
      </c>
      <c r="F145" s="12">
        <f t="shared" si="13"/>
        <v>127.18</v>
      </c>
      <c r="G145" s="12">
        <f t="shared" si="13"/>
        <v>944.30000000000007</v>
      </c>
      <c r="H145" s="12">
        <f t="shared" si="13"/>
        <v>0.52299999999999991</v>
      </c>
      <c r="I145" s="12">
        <f t="shared" si="13"/>
        <v>37.6</v>
      </c>
      <c r="J145" s="12">
        <f t="shared" si="13"/>
        <v>287.39999999999998</v>
      </c>
      <c r="K145" s="12">
        <f t="shared" si="13"/>
        <v>280.29999999999995</v>
      </c>
      <c r="L145" s="12">
        <f t="shared" si="13"/>
        <v>478.5</v>
      </c>
      <c r="M145" s="12">
        <f t="shared" si="13"/>
        <v>116.4</v>
      </c>
      <c r="N145" s="12">
        <f t="shared" si="13"/>
        <v>9.4260000000000002</v>
      </c>
    </row>
    <row r="146" spans="1:14" ht="15.75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5"/>
    </row>
    <row r="147" spans="1:14" ht="15.75">
      <c r="A147" s="20" t="s">
        <v>47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2"/>
    </row>
    <row r="148" spans="1:14" ht="15.75">
      <c r="A148" s="20" t="s">
        <v>22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2"/>
    </row>
    <row r="149" spans="1:14" ht="31.5">
      <c r="A149" s="9">
        <v>123</v>
      </c>
      <c r="B149" s="3" t="s">
        <v>89</v>
      </c>
      <c r="C149" s="13">
        <v>250</v>
      </c>
      <c r="D149" s="10">
        <f>35.8/4</f>
        <v>8.9499999999999993</v>
      </c>
      <c r="E149" s="10">
        <f>38.3/4</f>
        <v>9.5749999999999993</v>
      </c>
      <c r="F149" s="10">
        <f>30/4</f>
        <v>7.5</v>
      </c>
      <c r="G149" s="10">
        <f>608/4</f>
        <v>152</v>
      </c>
      <c r="H149" s="10">
        <f>0.34/4</f>
        <v>8.5000000000000006E-2</v>
      </c>
      <c r="I149" s="10">
        <f>22.3/4</f>
        <v>5.5750000000000002</v>
      </c>
      <c r="J149" s="10">
        <f>32/4</f>
        <v>8</v>
      </c>
      <c r="K149" s="10">
        <f>86/4</f>
        <v>21.5</v>
      </c>
      <c r="L149" s="10">
        <f>428/4</f>
        <v>107</v>
      </c>
      <c r="M149" s="10">
        <f>107/4</f>
        <v>26.75</v>
      </c>
      <c r="N149" s="10">
        <f>7.03/4</f>
        <v>1.7575000000000001</v>
      </c>
    </row>
    <row r="150" spans="1:14" ht="15.75">
      <c r="A150" s="9">
        <v>307</v>
      </c>
      <c r="B150" s="3" t="s">
        <v>71</v>
      </c>
      <c r="C150" s="9">
        <v>70</v>
      </c>
      <c r="D150" s="10">
        <v>9</v>
      </c>
      <c r="E150" s="10">
        <v>1.1000000000000001</v>
      </c>
      <c r="F150" s="10">
        <v>7</v>
      </c>
      <c r="G150" s="10">
        <v>74</v>
      </c>
      <c r="H150" s="10">
        <v>0.05</v>
      </c>
      <c r="I150" s="10">
        <v>0</v>
      </c>
      <c r="J150" s="10">
        <v>13</v>
      </c>
      <c r="K150" s="10">
        <v>37</v>
      </c>
      <c r="L150" s="10">
        <v>123</v>
      </c>
      <c r="M150" s="10">
        <v>18</v>
      </c>
      <c r="N150" s="10">
        <v>0.42</v>
      </c>
    </row>
    <row r="151" spans="1:14" ht="15.75">
      <c r="A151" s="9">
        <v>386</v>
      </c>
      <c r="B151" s="9" t="s">
        <v>51</v>
      </c>
      <c r="C151" s="9">
        <v>150</v>
      </c>
      <c r="D151" s="10">
        <f>24*0.15</f>
        <v>3.5999999999999996</v>
      </c>
      <c r="E151" s="10">
        <f>36*0.15</f>
        <v>5.3999999999999995</v>
      </c>
      <c r="F151" s="10">
        <f>196*0.15</f>
        <v>29.4</v>
      </c>
      <c r="G151" s="10">
        <f>1208*0.15</f>
        <v>181.2</v>
      </c>
      <c r="H151" s="10">
        <f>0.16*0.15</f>
        <v>2.4E-2</v>
      </c>
      <c r="I151" s="10">
        <v>0</v>
      </c>
      <c r="J151" s="10">
        <f>171*0.15</f>
        <v>25.65</v>
      </c>
      <c r="K151" s="10">
        <f>40*0.15</f>
        <v>6</v>
      </c>
      <c r="L151" s="10">
        <f>419*0.15</f>
        <v>62.849999999999994</v>
      </c>
      <c r="M151" s="10">
        <f>130*0.15</f>
        <v>19.5</v>
      </c>
      <c r="N151" s="10">
        <f>0.84*0.15</f>
        <v>0.126</v>
      </c>
    </row>
    <row r="152" spans="1:14" ht="15.75">
      <c r="A152" s="2">
        <v>573</v>
      </c>
      <c r="B152" s="3" t="s">
        <v>20</v>
      </c>
      <c r="C152" s="2">
        <v>50</v>
      </c>
      <c r="D152" s="4">
        <f>7.6*0.5</f>
        <v>3.8</v>
      </c>
      <c r="E152" s="4">
        <f>0.8*0.5</f>
        <v>0.4</v>
      </c>
      <c r="F152" s="4">
        <f>49.2*0.5</f>
        <v>24.6</v>
      </c>
      <c r="G152" s="4">
        <f>234*0.5</f>
        <v>117</v>
      </c>
      <c r="H152" s="4">
        <f>0.11*0.5</f>
        <v>5.5E-2</v>
      </c>
      <c r="I152" s="4">
        <v>0</v>
      </c>
      <c r="J152" s="4">
        <v>0</v>
      </c>
      <c r="K152" s="4">
        <f>20*0.5</f>
        <v>10</v>
      </c>
      <c r="L152" s="4">
        <f>65*0.5</f>
        <v>32.5</v>
      </c>
      <c r="M152" s="4">
        <f>14*0.5</f>
        <v>7</v>
      </c>
      <c r="N152" s="4">
        <f>1.1*0.5</f>
        <v>0.55000000000000004</v>
      </c>
    </row>
    <row r="153" spans="1:14" ht="31.5">
      <c r="A153" s="2">
        <v>410</v>
      </c>
      <c r="B153" s="3" t="s">
        <v>72</v>
      </c>
      <c r="C153" s="2">
        <v>30</v>
      </c>
      <c r="D153" s="4">
        <f>33*0.03</f>
        <v>0.99</v>
      </c>
      <c r="E153" s="4">
        <f>186.9*0.03</f>
        <v>5.6070000000000002</v>
      </c>
      <c r="F153" s="4">
        <f>53.4*0.03</f>
        <v>1.6019999999999999</v>
      </c>
      <c r="G153" s="4">
        <f>2027*0.03</f>
        <v>60.809999999999995</v>
      </c>
      <c r="H153" s="4">
        <f>0.35*0.03</f>
        <v>1.0499999999999999E-2</v>
      </c>
      <c r="I153" s="4">
        <f>7.2*0.03</f>
        <v>0.216</v>
      </c>
      <c r="J153" s="4">
        <f>1140*0.03</f>
        <v>34.199999999999996</v>
      </c>
      <c r="K153" s="4">
        <f>858*0.03</f>
        <v>25.74</v>
      </c>
      <c r="L153" s="4">
        <f>643*0.03</f>
        <v>19.29</v>
      </c>
      <c r="M153" s="4">
        <f>134*0.03</f>
        <v>4.0199999999999996</v>
      </c>
      <c r="N153" s="4">
        <f>4.54*0.03</f>
        <v>0.13619999999999999</v>
      </c>
    </row>
    <row r="154" spans="1:14" ht="15.75">
      <c r="A154" s="2">
        <v>486</v>
      </c>
      <c r="B154" s="3" t="s">
        <v>44</v>
      </c>
      <c r="C154" s="2">
        <v>200</v>
      </c>
      <c r="D154" s="4">
        <v>0.1</v>
      </c>
      <c r="E154" s="4">
        <v>0.1</v>
      </c>
      <c r="F154" s="4">
        <v>11.1</v>
      </c>
      <c r="G154" s="4">
        <v>46</v>
      </c>
      <c r="H154" s="4">
        <v>0.01</v>
      </c>
      <c r="I154" s="4">
        <v>0.6</v>
      </c>
      <c r="J154" s="4">
        <v>0</v>
      </c>
      <c r="K154" s="4">
        <v>3.4</v>
      </c>
      <c r="L154" s="4">
        <v>2.1</v>
      </c>
      <c r="M154" s="4">
        <v>1.7</v>
      </c>
      <c r="N154" s="4">
        <v>0.46</v>
      </c>
    </row>
    <row r="155" spans="1:14" ht="15.75">
      <c r="A155" s="5" t="s">
        <v>18</v>
      </c>
      <c r="B155" s="3" t="s">
        <v>39</v>
      </c>
      <c r="C155" s="10">
        <v>50</v>
      </c>
      <c r="D155" s="10">
        <v>8</v>
      </c>
      <c r="E155" s="10">
        <v>9</v>
      </c>
      <c r="F155" s="10">
        <v>60</v>
      </c>
      <c r="G155" s="10">
        <v>336</v>
      </c>
      <c r="H155" s="10"/>
      <c r="I155" s="10"/>
      <c r="J155" s="10"/>
      <c r="K155" s="10"/>
      <c r="L155" s="10"/>
      <c r="M155" s="10"/>
      <c r="N155" s="10"/>
    </row>
    <row r="156" spans="1:14" ht="15.75">
      <c r="A156" s="9"/>
      <c r="B156" s="6" t="s">
        <v>21</v>
      </c>
      <c r="C156" s="10"/>
      <c r="D156" s="12">
        <f>D149+D150+D151+D152+D153+D154+D155</f>
        <v>34.44</v>
      </c>
      <c r="E156" s="12">
        <f t="shared" ref="E156:N156" si="14">E149+E150+E151+E152+E153+E154+E155</f>
        <v>31.181999999999999</v>
      </c>
      <c r="F156" s="12">
        <f t="shared" si="14"/>
        <v>141.202</v>
      </c>
      <c r="G156" s="12">
        <f t="shared" si="14"/>
        <v>967.01</v>
      </c>
      <c r="H156" s="12">
        <f t="shared" si="14"/>
        <v>0.23450000000000001</v>
      </c>
      <c r="I156" s="12">
        <f t="shared" si="14"/>
        <v>6.391</v>
      </c>
      <c r="J156" s="12">
        <f t="shared" si="14"/>
        <v>80.849999999999994</v>
      </c>
      <c r="K156" s="12">
        <f t="shared" si="14"/>
        <v>103.64</v>
      </c>
      <c r="L156" s="12">
        <f t="shared" si="14"/>
        <v>346.74000000000007</v>
      </c>
      <c r="M156" s="12">
        <f t="shared" si="14"/>
        <v>76.97</v>
      </c>
      <c r="N156" s="12">
        <f t="shared" si="14"/>
        <v>3.4497000000000004</v>
      </c>
    </row>
    <row r="157" spans="1:14" ht="15.75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5"/>
    </row>
    <row r="158" spans="1:14" ht="15.75">
      <c r="A158" s="20" t="s">
        <v>48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2"/>
    </row>
    <row r="159" spans="1:14" ht="15.75">
      <c r="A159" s="36" t="s">
        <v>92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8"/>
    </row>
    <row r="160" spans="1:14" ht="15.75">
      <c r="A160" s="9">
        <v>101</v>
      </c>
      <c r="B160" s="3" t="s">
        <v>90</v>
      </c>
      <c r="C160" s="9">
        <v>250</v>
      </c>
      <c r="D160" s="10">
        <f>10/4</f>
        <v>2.5</v>
      </c>
      <c r="E160" s="10">
        <f>20.3/4</f>
        <v>5.0750000000000002</v>
      </c>
      <c r="F160" s="10">
        <f>36.7/4</f>
        <v>9.1750000000000007</v>
      </c>
      <c r="G160" s="10">
        <f>369/4</f>
        <v>92.25</v>
      </c>
      <c r="H160" s="10">
        <f>0.32/4</f>
        <v>0.08</v>
      </c>
      <c r="I160" s="10">
        <f>33/4</f>
        <v>8.25</v>
      </c>
      <c r="J160" s="10">
        <v>0</v>
      </c>
      <c r="K160" s="10">
        <f>91/4</f>
        <v>22.75</v>
      </c>
      <c r="L160" s="10">
        <f>219/4</f>
        <v>54.75</v>
      </c>
      <c r="M160" s="10">
        <f>91/4</f>
        <v>22.75</v>
      </c>
      <c r="N160" s="10">
        <f>3.52/4</f>
        <v>0.88</v>
      </c>
    </row>
    <row r="161" spans="1:14" ht="15.75">
      <c r="A161" s="9">
        <v>339</v>
      </c>
      <c r="B161" s="3" t="s">
        <v>91</v>
      </c>
      <c r="C161" s="9">
        <v>70</v>
      </c>
      <c r="D161" s="10">
        <f>17.6*0.7</f>
        <v>12.32</v>
      </c>
      <c r="E161" s="10">
        <f>12.3*0.7</f>
        <v>8.61</v>
      </c>
      <c r="F161" s="10">
        <f>15*0.7</f>
        <v>10.5</v>
      </c>
      <c r="G161" s="10">
        <f>243*0.7</f>
        <v>170.1</v>
      </c>
      <c r="H161" s="10">
        <f>0.16*0.7</f>
        <v>0.11199999999999999</v>
      </c>
      <c r="I161" s="10">
        <v>0</v>
      </c>
      <c r="J161" s="10">
        <f>4*0.7</f>
        <v>2.8</v>
      </c>
      <c r="K161" s="10">
        <f>53*0.7</f>
        <v>37.099999999999994</v>
      </c>
      <c r="L161" s="10">
        <f>173*0.7</f>
        <v>121.1</v>
      </c>
      <c r="M161" s="10">
        <f>26*0.7</f>
        <v>18.2</v>
      </c>
      <c r="N161" s="10">
        <f>2.8*0.7</f>
        <v>1.9599999999999997</v>
      </c>
    </row>
    <row r="162" spans="1:14" ht="15.75">
      <c r="A162" s="9">
        <v>377</v>
      </c>
      <c r="B162" s="9" t="s">
        <v>41</v>
      </c>
      <c r="C162" s="9">
        <v>150</v>
      </c>
      <c r="D162" s="10">
        <f>2.7*1.5</f>
        <v>4.0500000000000007</v>
      </c>
      <c r="E162" s="10">
        <f>4*1.5</f>
        <v>6</v>
      </c>
      <c r="F162" s="10">
        <f>5.8*1.5</f>
        <v>8.6999999999999993</v>
      </c>
      <c r="G162" s="10">
        <f>70*1.5</f>
        <v>105</v>
      </c>
      <c r="H162" s="10">
        <f>0.08*1.5</f>
        <v>0.12</v>
      </c>
      <c r="I162" s="10">
        <f>2.4*1.5</f>
        <v>3.5999999999999996</v>
      </c>
      <c r="J162" s="10">
        <f>20*1.5</f>
        <v>30</v>
      </c>
      <c r="K162" s="10">
        <f>25*1.5</f>
        <v>37.5</v>
      </c>
      <c r="L162" s="10">
        <f>49*1.5</f>
        <v>73.5</v>
      </c>
      <c r="M162" s="10">
        <f>16*1.5</f>
        <v>24</v>
      </c>
      <c r="N162" s="10">
        <f>0.55*1.5</f>
        <v>0.82500000000000007</v>
      </c>
    </row>
    <row r="163" spans="1:14" ht="15.75">
      <c r="A163" s="2">
        <v>573</v>
      </c>
      <c r="B163" s="3" t="s">
        <v>20</v>
      </c>
      <c r="C163" s="2">
        <v>50</v>
      </c>
      <c r="D163" s="4">
        <f>7.6*0.5</f>
        <v>3.8</v>
      </c>
      <c r="E163" s="4">
        <f>0.8*0.5</f>
        <v>0.4</v>
      </c>
      <c r="F163" s="4">
        <f>49.2*0.5</f>
        <v>24.6</v>
      </c>
      <c r="G163" s="4">
        <f>234*0.5</f>
        <v>117</v>
      </c>
      <c r="H163" s="4">
        <f>0.11*0.5</f>
        <v>5.5E-2</v>
      </c>
      <c r="I163" s="4">
        <v>0</v>
      </c>
      <c r="J163" s="4">
        <v>0</v>
      </c>
      <c r="K163" s="4">
        <f>20*0.5</f>
        <v>10</v>
      </c>
      <c r="L163" s="4">
        <f>65*0.5</f>
        <v>32.5</v>
      </c>
      <c r="M163" s="4">
        <f>14*0.5</f>
        <v>7</v>
      </c>
      <c r="N163" s="4">
        <f>1.1*0.5</f>
        <v>0.55000000000000004</v>
      </c>
    </row>
    <row r="164" spans="1:14" ht="15.75">
      <c r="A164" s="5">
        <v>508</v>
      </c>
      <c r="B164" s="9" t="s">
        <v>23</v>
      </c>
      <c r="C164" s="9">
        <v>200</v>
      </c>
      <c r="D164" s="10">
        <v>0.5</v>
      </c>
      <c r="E164" s="10">
        <v>0</v>
      </c>
      <c r="F164" s="10">
        <v>27</v>
      </c>
      <c r="G164" s="10">
        <v>110</v>
      </c>
      <c r="H164" s="10">
        <v>0.01</v>
      </c>
      <c r="I164" s="10">
        <v>0.5</v>
      </c>
      <c r="J164" s="10">
        <v>0</v>
      </c>
      <c r="K164" s="10">
        <v>28</v>
      </c>
      <c r="L164" s="10">
        <v>19</v>
      </c>
      <c r="M164" s="10">
        <v>7</v>
      </c>
      <c r="N164" s="10">
        <v>1.5</v>
      </c>
    </row>
    <row r="165" spans="1:14" ht="15.75">
      <c r="A165" s="2">
        <v>82</v>
      </c>
      <c r="B165" s="3" t="s">
        <v>64</v>
      </c>
      <c r="C165" s="2">
        <v>100</v>
      </c>
      <c r="D165" s="4">
        <v>0.4</v>
      </c>
      <c r="E165" s="4">
        <v>0.4</v>
      </c>
      <c r="F165" s="4">
        <v>9.8000000000000007</v>
      </c>
      <c r="G165" s="4">
        <v>44</v>
      </c>
      <c r="H165" s="4">
        <v>0.03</v>
      </c>
      <c r="I165" s="4">
        <v>7</v>
      </c>
      <c r="J165" s="4">
        <v>0</v>
      </c>
      <c r="K165" s="4">
        <v>16.100000000000001</v>
      </c>
      <c r="L165" s="4">
        <v>11</v>
      </c>
      <c r="M165" s="4">
        <v>9</v>
      </c>
      <c r="N165" s="4">
        <v>2.21</v>
      </c>
    </row>
    <row r="166" spans="1:14" ht="15.75">
      <c r="A166" s="5" t="s">
        <v>18</v>
      </c>
      <c r="B166" s="9" t="s">
        <v>75</v>
      </c>
      <c r="C166" s="9">
        <v>50</v>
      </c>
      <c r="D166" s="10">
        <v>4.7699999999999996</v>
      </c>
      <c r="E166" s="10">
        <v>8.86</v>
      </c>
      <c r="F166" s="10">
        <v>21.33</v>
      </c>
      <c r="G166" s="10">
        <v>384.5</v>
      </c>
      <c r="H166" s="10"/>
      <c r="I166" s="10"/>
      <c r="J166" s="10"/>
      <c r="K166" s="10"/>
      <c r="L166" s="10"/>
      <c r="M166" s="10"/>
      <c r="N166" s="10"/>
    </row>
    <row r="167" spans="1:14" ht="15.75">
      <c r="A167" s="9"/>
      <c r="B167" s="6" t="s">
        <v>21</v>
      </c>
      <c r="C167" s="11"/>
      <c r="D167" s="12">
        <f>D160+D161+D162+D163+D164+D165+D166</f>
        <v>28.34</v>
      </c>
      <c r="E167" s="12">
        <f t="shared" ref="E167:N167" si="15">E160+E161+E162+E163+E164+E165+E166</f>
        <v>29.344999999999995</v>
      </c>
      <c r="F167" s="12">
        <f t="shared" si="15"/>
        <v>111.10499999999999</v>
      </c>
      <c r="G167" s="12">
        <f t="shared" si="15"/>
        <v>1022.85</v>
      </c>
      <c r="H167" s="12">
        <f t="shared" si="15"/>
        <v>0.40700000000000003</v>
      </c>
      <c r="I167" s="12">
        <f t="shared" si="15"/>
        <v>19.350000000000001</v>
      </c>
      <c r="J167" s="12">
        <f t="shared" si="15"/>
        <v>32.799999999999997</v>
      </c>
      <c r="K167" s="12">
        <f t="shared" si="15"/>
        <v>151.44999999999999</v>
      </c>
      <c r="L167" s="12">
        <f t="shared" si="15"/>
        <v>311.85000000000002</v>
      </c>
      <c r="M167" s="12">
        <f t="shared" si="15"/>
        <v>87.95</v>
      </c>
      <c r="N167" s="12">
        <f t="shared" si="15"/>
        <v>7.9249999999999998</v>
      </c>
    </row>
    <row r="168" spans="1:14" ht="15.75">
      <c r="A168" s="15"/>
      <c r="B168" s="1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5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5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5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5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5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5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5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5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5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5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5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5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5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5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5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5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5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5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5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5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5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5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5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5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5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5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5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5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5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5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5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5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5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5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5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5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5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5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5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5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5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5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5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5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5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5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5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5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5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5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5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5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5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5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5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5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5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5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5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5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5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5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5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5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5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5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5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5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5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5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5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5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5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5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5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5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5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5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5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5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5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5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5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5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5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5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5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5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5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5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5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5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5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5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5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5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5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5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5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5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5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5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5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5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5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5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5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5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5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5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5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5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5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5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5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5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5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5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5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5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5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5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5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5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5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5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5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5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5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5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5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5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5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5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5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5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5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5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5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5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5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5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5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5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5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5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5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5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5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5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5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5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5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5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5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5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5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5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5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5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5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5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5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5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5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5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5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5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5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5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5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5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5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5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5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5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5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5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5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5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5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5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5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5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5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5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5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5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5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5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5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5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5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5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5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5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5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5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5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5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5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5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5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5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5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5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5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5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5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5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5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5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5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5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5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5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5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5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5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5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5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5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5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5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5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5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5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5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5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5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5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5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5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5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5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5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5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5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5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5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5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5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5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5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5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5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5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5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5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5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5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5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5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5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5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5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5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5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5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5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5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5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5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5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5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5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5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5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5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5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5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5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5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5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5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5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5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5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5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5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5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5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5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5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5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5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5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5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5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5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5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5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5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5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5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5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5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5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5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5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5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5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5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5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5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5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5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5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5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5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5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5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5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5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5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5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5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5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5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5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5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5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5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5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5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5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5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5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5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5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5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ht="15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ht="15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1:14" ht="15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1:14" ht="15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1:14" ht="15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1:14" ht="15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1:14" ht="15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1:14" ht="15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1:14" ht="15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1:14" ht="15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1:14" ht="15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1:14" ht="15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1:14" ht="15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1:14" ht="15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1:14" ht="15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1:14" ht="15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1:14" ht="15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1:14" ht="15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</row>
    <row r="602" spans="1:14" ht="15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1:14" ht="15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1:14" ht="15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1:14" ht="15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spans="1:14" ht="15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</row>
    <row r="607" spans="1:14" ht="15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</row>
    <row r="608" spans="1:14" ht="15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</row>
    <row r="609" spans="1:14" ht="15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1:14" ht="15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1:14" ht="15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</row>
    <row r="612" spans="1:14" ht="15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</row>
    <row r="613" spans="1:14" ht="15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</row>
    <row r="614" spans="1:14" ht="15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</row>
    <row r="615" spans="1:14" ht="15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</row>
    <row r="616" spans="1:14" ht="15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1:14" ht="15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</row>
    <row r="618" spans="1:14" ht="15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1:14" ht="15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</row>
    <row r="620" spans="1:14" ht="15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</row>
    <row r="621" spans="1:14" ht="15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</row>
    <row r="622" spans="1:14" ht="15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</row>
    <row r="623" spans="1:14" ht="15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</row>
    <row r="624" spans="1:14" ht="15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</row>
    <row r="625" spans="1:14" ht="15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</row>
    <row r="626" spans="1:14" ht="15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</row>
    <row r="627" spans="1:14" ht="15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</row>
    <row r="628" spans="1:14" ht="15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</row>
    <row r="629" spans="1:14" ht="15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</row>
    <row r="630" spans="1:14" ht="15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</row>
    <row r="631" spans="1:14" ht="15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</row>
    <row r="632" spans="1:14" ht="15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</row>
    <row r="633" spans="1:14" ht="15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1:14" ht="15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</row>
    <row r="635" spans="1:14" ht="15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</row>
    <row r="636" spans="1:14" ht="15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</row>
    <row r="637" spans="1:14" ht="15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1:14" ht="15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</row>
    <row r="639" spans="1:14" ht="15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</row>
    <row r="640" spans="1:14" ht="15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</row>
    <row r="641" spans="1:14" ht="15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1:14" ht="15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</row>
    <row r="643" spans="1:14" ht="15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</row>
    <row r="644" spans="1:14" ht="15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</row>
    <row r="645" spans="1:14" ht="15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1:14" ht="15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</row>
    <row r="647" spans="1:14" ht="15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</row>
    <row r="648" spans="1:14" ht="15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</row>
    <row r="649" spans="1:14" ht="15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1:14" ht="15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1:14" ht="15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</row>
    <row r="652" spans="1:14" ht="15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1:14" ht="15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1:14" ht="15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</row>
    <row r="655" spans="1:14" ht="15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</row>
    <row r="656" spans="1:14" ht="15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</row>
    <row r="657" spans="1:14" ht="15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1:14" ht="15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</row>
    <row r="659" spans="1:14" ht="15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</row>
    <row r="660" spans="1:14" ht="15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</row>
    <row r="661" spans="1:14" ht="15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1:14" ht="15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</row>
    <row r="663" spans="1:14" ht="15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</row>
    <row r="664" spans="1:14" ht="15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</row>
    <row r="665" spans="1:14" ht="15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1:14" ht="15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</row>
    <row r="667" spans="1:14" ht="15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</row>
    <row r="668" spans="1:14" ht="15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</row>
    <row r="669" spans="1:14" ht="15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1:14" ht="15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</row>
    <row r="671" spans="1:14" ht="15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</row>
    <row r="672" spans="1:14" ht="15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</row>
    <row r="673" spans="1:14" ht="15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1:14" ht="15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</row>
    <row r="675" spans="1:14" ht="15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</row>
    <row r="676" spans="1:14" ht="15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7" spans="1:14" ht="15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1:14" ht="15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</row>
    <row r="679" spans="1:14" ht="15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</row>
    <row r="680" spans="1:14" ht="15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</row>
    <row r="681" spans="1:14" ht="15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1:14" ht="15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1:14" ht="15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</row>
    <row r="684" spans="1:14" ht="15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</row>
    <row r="685" spans="1:14" ht="15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1:14" ht="15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</row>
    <row r="687" spans="1:14" ht="15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</row>
    <row r="688" spans="1:14" ht="15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</row>
    <row r="689" spans="1:14" ht="15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1:14" ht="15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</row>
    <row r="691" spans="1:14" ht="15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</row>
    <row r="692" spans="1:14" ht="15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</row>
    <row r="693" spans="1:14" ht="15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1:14" ht="15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</row>
    <row r="695" spans="1:14" ht="15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</row>
    <row r="696" spans="1:14" ht="15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</row>
    <row r="697" spans="1:14" ht="15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1:14" ht="15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</row>
    <row r="699" spans="1:14" ht="15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</row>
    <row r="700" spans="1:14" ht="15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</row>
    <row r="701" spans="1:14" ht="15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</row>
    <row r="702" spans="1:14" ht="15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</row>
    <row r="703" spans="1:14" ht="15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</row>
    <row r="704" spans="1:14" ht="15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</row>
    <row r="705" spans="1:14" ht="15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</row>
    <row r="706" spans="1:14" ht="15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</row>
    <row r="707" spans="1:14" ht="15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</row>
    <row r="708" spans="1:14" ht="15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</row>
    <row r="709" spans="1:14" ht="15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</row>
    <row r="710" spans="1:14" ht="15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</row>
    <row r="711" spans="1:14" ht="15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</row>
    <row r="712" spans="1:14" ht="15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</row>
    <row r="713" spans="1:14" ht="15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</row>
    <row r="714" spans="1:14" ht="15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</row>
    <row r="715" spans="1:14" ht="15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</row>
    <row r="716" spans="1:14" ht="15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</row>
    <row r="717" spans="1:14" ht="15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</row>
    <row r="718" spans="1:14" ht="15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</row>
    <row r="719" spans="1:14" ht="15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</row>
    <row r="720" spans="1:14" ht="15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</row>
    <row r="721" spans="1:14" ht="15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</row>
    <row r="722" spans="1:14" ht="15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</row>
    <row r="723" spans="1:14" ht="15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</row>
    <row r="724" spans="1:14" ht="15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</row>
    <row r="725" spans="1:14" ht="15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</row>
    <row r="726" spans="1:14" ht="15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</row>
    <row r="727" spans="1:14" ht="15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</row>
    <row r="728" spans="1:14" ht="15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</row>
    <row r="729" spans="1:14" ht="15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</row>
    <row r="730" spans="1:14" ht="15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</row>
    <row r="731" spans="1:14" ht="15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</row>
    <row r="732" spans="1:14" ht="15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</row>
    <row r="733" spans="1:14" ht="15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</row>
    <row r="734" spans="1:14" ht="15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</row>
    <row r="735" spans="1:14" ht="15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</row>
    <row r="736" spans="1:14" ht="15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</row>
    <row r="737" spans="1:14" ht="15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</row>
    <row r="738" spans="1:14" ht="15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</row>
    <row r="739" spans="1:14" ht="15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</row>
    <row r="740" spans="1:14" ht="15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</row>
    <row r="741" spans="1:14" ht="15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</row>
    <row r="742" spans="1:14" ht="15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</row>
    <row r="743" spans="1:14" ht="15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</row>
    <row r="744" spans="1:14" ht="15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</row>
    <row r="745" spans="1:14" ht="15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</row>
    <row r="746" spans="1:14" ht="15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</row>
    <row r="747" spans="1:14" ht="15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</row>
    <row r="748" spans="1:14" ht="15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</row>
    <row r="749" spans="1:14" ht="15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</row>
    <row r="750" spans="1:14" ht="15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</row>
    <row r="751" spans="1:14" ht="15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</row>
    <row r="752" spans="1:14" ht="15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</row>
    <row r="753" spans="1:14" ht="15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</row>
    <row r="754" spans="1:14" ht="15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5" spans="1:14" ht="15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</row>
    <row r="756" spans="1:14" ht="15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</row>
    <row r="757" spans="1:14" ht="15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</row>
    <row r="758" spans="1:14" ht="15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</row>
    <row r="759" spans="1:14" ht="15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</row>
    <row r="760" spans="1:14" ht="15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</row>
    <row r="761" spans="1:14" ht="15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</row>
    <row r="762" spans="1:14" ht="15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</row>
    <row r="763" spans="1:14" ht="15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</row>
    <row r="764" spans="1:14" ht="15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</row>
    <row r="765" spans="1:14" ht="15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</row>
    <row r="766" spans="1:14" ht="15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</row>
    <row r="767" spans="1:14" ht="15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</row>
    <row r="768" spans="1:14" ht="15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</row>
    <row r="769" spans="1:14" ht="15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</row>
    <row r="770" spans="1:14" ht="15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</row>
    <row r="771" spans="1:14" ht="15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</row>
    <row r="772" spans="1:14" ht="15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</row>
    <row r="773" spans="1:14" ht="15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</row>
    <row r="774" spans="1:14" ht="15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</row>
    <row r="775" spans="1:14" ht="15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1:14" ht="15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1:14" ht="15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1:14" ht="15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</row>
    <row r="779" spans="1:14" ht="15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</row>
    <row r="780" spans="1:14" ht="15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</row>
    <row r="781" spans="1:14" ht="15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</row>
    <row r="782" spans="1:14" ht="15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</row>
    <row r="783" spans="1:14" ht="15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</row>
    <row r="784" spans="1:14" ht="15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</row>
    <row r="785" spans="1:14" ht="15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</row>
    <row r="786" spans="1:14" ht="15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</row>
    <row r="787" spans="1:14" ht="15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</row>
    <row r="788" spans="1:14" ht="15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</row>
    <row r="789" spans="1:14" ht="15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</row>
    <row r="790" spans="1:14" ht="15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</row>
    <row r="791" spans="1:14" ht="15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</row>
    <row r="792" spans="1:14" ht="15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</row>
    <row r="793" spans="1:14" ht="15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</row>
    <row r="794" spans="1:14" ht="15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</row>
    <row r="795" spans="1:14" ht="15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</row>
    <row r="796" spans="1:14" ht="15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</row>
    <row r="797" spans="1:14" ht="15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</row>
    <row r="798" spans="1:14" ht="15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</row>
    <row r="799" spans="1:14" ht="15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</row>
    <row r="800" spans="1:14" ht="15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</row>
    <row r="801" spans="1:14" ht="15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</row>
    <row r="802" spans="1:14" ht="15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</row>
    <row r="803" spans="1:14" ht="15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</row>
    <row r="804" spans="1:14" ht="15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</row>
    <row r="805" spans="1:14" ht="15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</row>
    <row r="806" spans="1:14" ht="15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</row>
    <row r="807" spans="1:14" ht="15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</row>
    <row r="808" spans="1:14" ht="15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</row>
    <row r="809" spans="1:14" ht="15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</row>
    <row r="810" spans="1:14" ht="15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</row>
    <row r="811" spans="1:14" ht="15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</row>
    <row r="812" spans="1:14" ht="15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</row>
    <row r="813" spans="1:14" ht="15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</row>
    <row r="814" spans="1:14" ht="15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</row>
    <row r="815" spans="1:14" ht="15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</row>
    <row r="816" spans="1:14" ht="15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</row>
    <row r="817" spans="1:14" ht="15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</row>
    <row r="818" spans="1:14" ht="15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</row>
    <row r="819" spans="1:14" ht="15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</row>
    <row r="820" spans="1:14" ht="15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</row>
    <row r="821" spans="1:14" ht="15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</row>
    <row r="822" spans="1:14" ht="15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</row>
    <row r="823" spans="1:14" ht="15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</row>
    <row r="824" spans="1:14" ht="15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</row>
    <row r="825" spans="1:14" ht="15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</row>
    <row r="826" spans="1:14" ht="15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</row>
    <row r="827" spans="1:14" ht="15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</row>
    <row r="828" spans="1:14" ht="15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</row>
    <row r="829" spans="1:14" ht="15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</row>
    <row r="830" spans="1:14" ht="15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</row>
    <row r="831" spans="1:14" ht="15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</row>
    <row r="832" spans="1:14" ht="15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</row>
    <row r="833" spans="1:14" ht="15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</row>
    <row r="834" spans="1:14" ht="15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</row>
    <row r="835" spans="1:14" ht="15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</row>
    <row r="836" spans="1:14" ht="15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</row>
    <row r="837" spans="1:14" ht="15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</row>
    <row r="838" spans="1:14" ht="15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</row>
    <row r="839" spans="1:14" ht="15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</row>
    <row r="840" spans="1:14" ht="15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1:14" ht="15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1:14" ht="15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</row>
    <row r="843" spans="1:14" ht="15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1:14" ht="15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</row>
    <row r="845" spans="1:14" ht="15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</row>
    <row r="846" spans="1:14" ht="15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1:14" ht="15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1:14" ht="15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49" spans="1:14" ht="15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</row>
    <row r="850" spans="1:14" ht="15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</row>
    <row r="851" spans="1:14" ht="15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</row>
    <row r="852" spans="1:14" ht="15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</row>
    <row r="853" spans="1:14" ht="15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</row>
    <row r="854" spans="1:14" ht="15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</row>
    <row r="855" spans="1:14" ht="15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</row>
    <row r="856" spans="1:14" ht="15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</row>
    <row r="857" spans="1:14" ht="15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</row>
    <row r="858" spans="1:14" ht="15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</row>
    <row r="859" spans="1:14" ht="15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</row>
    <row r="860" spans="1:14" ht="15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</row>
    <row r="861" spans="1:14" ht="15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</row>
    <row r="862" spans="1:14" ht="15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</row>
    <row r="863" spans="1:14" ht="15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</row>
    <row r="864" spans="1:14" ht="15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</row>
    <row r="865" spans="1:14" ht="15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</row>
    <row r="866" spans="1:14" ht="15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</row>
    <row r="867" spans="1:14" ht="15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</row>
    <row r="868" spans="1:14" ht="15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</row>
    <row r="869" spans="1:14" ht="15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</row>
    <row r="870" spans="1:14" ht="15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</row>
    <row r="871" spans="1:14" ht="15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</row>
    <row r="872" spans="1:14" ht="15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</row>
    <row r="873" spans="1:14" ht="15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</row>
    <row r="874" spans="1:14" ht="15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</row>
    <row r="875" spans="1:14" ht="15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</row>
    <row r="876" spans="1:14" ht="15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</row>
    <row r="877" spans="1:14" ht="15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1:14" ht="15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</row>
    <row r="879" spans="1:14" ht="15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</row>
    <row r="880" spans="1:14" ht="15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1:14" ht="15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</row>
    <row r="882" spans="1:14" ht="15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</row>
    <row r="883" spans="1:14" ht="15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</row>
    <row r="884" spans="1:14" ht="15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</row>
    <row r="885" spans="1:14" ht="15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</row>
    <row r="886" spans="1:14" ht="15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</row>
    <row r="887" spans="1:14" ht="15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</row>
    <row r="888" spans="1:14" ht="15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</row>
    <row r="889" spans="1:14" ht="15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</row>
    <row r="890" spans="1:14" ht="15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</row>
    <row r="891" spans="1:14" ht="15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</row>
    <row r="892" spans="1:14" ht="15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</row>
    <row r="893" spans="1:14" ht="15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</row>
    <row r="894" spans="1:14" ht="15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</row>
    <row r="895" spans="1:14" ht="15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</row>
    <row r="896" spans="1:14" ht="15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</row>
    <row r="897" spans="1:14" ht="15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</row>
    <row r="898" spans="1:14" ht="15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</row>
    <row r="899" spans="1:14" ht="15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</row>
    <row r="900" spans="1:14" ht="15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</row>
    <row r="901" spans="1:14" ht="15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</row>
    <row r="902" spans="1:14" ht="15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</row>
    <row r="903" spans="1:14" ht="15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</row>
    <row r="904" spans="1:14" ht="15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</row>
    <row r="905" spans="1:14" ht="15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</row>
    <row r="906" spans="1:14" ht="15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</row>
    <row r="907" spans="1:14" ht="15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</row>
    <row r="908" spans="1:14" ht="15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</row>
    <row r="909" spans="1:14" ht="15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</row>
    <row r="910" spans="1:14" ht="15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</row>
    <row r="911" spans="1:14" ht="15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</row>
    <row r="912" spans="1:14" ht="15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</row>
    <row r="913" spans="1:14" ht="15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</row>
    <row r="914" spans="1:14" ht="15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</row>
    <row r="915" spans="1:14" ht="15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</row>
    <row r="916" spans="1:14" ht="15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</row>
    <row r="917" spans="1:14" ht="15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</row>
    <row r="918" spans="1:14" ht="15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</row>
    <row r="919" spans="1:14" ht="15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</row>
    <row r="920" spans="1:14" ht="15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</row>
    <row r="921" spans="1:14" ht="15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</row>
    <row r="922" spans="1:14" ht="15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</row>
    <row r="923" spans="1:14" ht="15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</row>
    <row r="924" spans="1:14" ht="15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</row>
    <row r="925" spans="1:14" ht="15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</row>
    <row r="926" spans="1:14" ht="15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</row>
    <row r="927" spans="1:14" ht="15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</row>
    <row r="928" spans="1:14" ht="15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1:14" ht="15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1:14" ht="15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pans="1:14" ht="15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</row>
    <row r="932" spans="1:14" ht="15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</row>
    <row r="933" spans="1:14" ht="15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</row>
    <row r="934" spans="1:14" ht="15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</row>
    <row r="935" spans="1:14" ht="15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</row>
    <row r="936" spans="1:14" ht="15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</row>
    <row r="937" spans="1:14" ht="15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1:14" ht="15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1:14" ht="15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1:14" ht="15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1:14" ht="15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1:14" ht="15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spans="1:14" ht="15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</row>
    <row r="944" spans="1:14" ht="15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1:14" ht="15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1:14" ht="15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1:14" ht="15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</row>
    <row r="948" spans="1:14" ht="15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</row>
    <row r="949" spans="1:14" ht="15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</row>
    <row r="950" spans="1:14" ht="15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</row>
    <row r="951" spans="1:14" ht="15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</row>
    <row r="952" spans="1:14" ht="15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</row>
    <row r="953" spans="1:14" ht="15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</row>
    <row r="954" spans="1:14" ht="15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1:14" ht="15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</row>
    <row r="956" spans="1:14" ht="15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</row>
    <row r="957" spans="1:14" ht="15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</row>
    <row r="958" spans="1:14" ht="15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</row>
    <row r="959" spans="1:14" ht="15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</row>
    <row r="960" spans="1:14" ht="15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</row>
    <row r="961" spans="1:14" ht="15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</row>
    <row r="962" spans="1:14" ht="15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</row>
    <row r="963" spans="1:14" ht="15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</row>
    <row r="964" spans="1:14" ht="15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</row>
    <row r="965" spans="1:14" ht="15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</row>
    <row r="966" spans="1:14" ht="15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</row>
    <row r="967" spans="1:14" ht="15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</row>
    <row r="968" spans="1:14" ht="15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</row>
    <row r="969" spans="1:14" ht="15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</row>
    <row r="970" spans="1:14" ht="15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</row>
    <row r="971" spans="1:14" ht="15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</row>
    <row r="972" spans="1:14" ht="15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</row>
    <row r="973" spans="1:14" ht="15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</row>
    <row r="974" spans="1:14" ht="15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</row>
    <row r="975" spans="1:14" ht="15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</row>
    <row r="976" spans="1:14" ht="15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</row>
    <row r="977" spans="1:14" ht="15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</row>
    <row r="978" spans="1:14" ht="15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</row>
    <row r="979" spans="1:14" ht="15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</row>
    <row r="980" spans="1:14" ht="15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</row>
    <row r="981" spans="1:14" ht="15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</row>
    <row r="982" spans="1:14" ht="15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</row>
    <row r="983" spans="1:14" ht="15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</row>
    <row r="984" spans="1:14" ht="15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</row>
    <row r="985" spans="1:14" ht="15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</row>
    <row r="986" spans="1:14" ht="15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</row>
    <row r="987" spans="1:14" ht="15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</row>
    <row r="988" spans="1:14" ht="15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</row>
    <row r="989" spans="1:14" ht="15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</row>
    <row r="990" spans="1:14" ht="15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</row>
    <row r="991" spans="1:14" ht="15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</row>
    <row r="992" spans="1:14" ht="15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</row>
    <row r="993" spans="1:14" ht="15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</row>
    <row r="994" spans="1:14" ht="15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</row>
    <row r="995" spans="1:14" ht="15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</row>
    <row r="996" spans="1:14" ht="15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</row>
    <row r="997" spans="1:14" ht="15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</row>
    <row r="998" spans="1:14" ht="15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</row>
    <row r="999" spans="1:14" ht="15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</row>
    <row r="1000" spans="1:14" ht="15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</row>
    <row r="1001" spans="1:14" ht="15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</row>
    <row r="1002" spans="1:14" ht="15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</row>
    <row r="1003" spans="1:14" ht="15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</row>
    <row r="1004" spans="1:14" ht="15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</row>
    <row r="1005" spans="1:14" ht="15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</row>
    <row r="1006" spans="1:14" ht="15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</row>
    <row r="1007" spans="1:14" ht="15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</row>
    <row r="1008" spans="1:14" ht="15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</row>
    <row r="1009" spans="1:14" ht="15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</row>
    <row r="1010" spans="1:14" ht="15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</row>
    <row r="1011" spans="1:14" ht="15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</row>
    <row r="1012" spans="1:14" ht="15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</row>
    <row r="1013" spans="1:14" ht="15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</row>
    <row r="1014" spans="1:14" ht="15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</row>
    <row r="1015" spans="1:14" ht="15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</row>
    <row r="1016" spans="1:14" ht="15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</row>
    <row r="1017" spans="1:14" ht="15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</row>
    <row r="1018" spans="1:14" ht="15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</row>
    <row r="1019" spans="1:14" ht="15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</row>
    <row r="1020" spans="1:14" ht="15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</row>
    <row r="1021" spans="1:14" ht="15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</row>
    <row r="1022" spans="1:14" ht="15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</row>
    <row r="1023" spans="1:14" ht="15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</row>
    <row r="1024" spans="1:14" ht="15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</row>
    <row r="1025" spans="1:14" ht="15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</row>
    <row r="1026" spans="1:14" ht="15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</row>
    <row r="1027" spans="1:14" ht="15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</row>
    <row r="1028" spans="1:14" ht="15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</row>
    <row r="1029" spans="1:14" ht="15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</row>
    <row r="1030" spans="1:14" ht="15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</row>
    <row r="1031" spans="1:14" ht="15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</row>
    <row r="1032" spans="1:14" ht="15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</row>
    <row r="1033" spans="1:14" ht="15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</row>
    <row r="1034" spans="1:14" ht="15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</row>
    <row r="1035" spans="1:14" ht="15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</row>
    <row r="1036" spans="1:14" ht="15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</row>
    <row r="1037" spans="1:14" ht="15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</row>
    <row r="1038" spans="1:14" ht="15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</row>
    <row r="1039" spans="1:14" ht="15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</row>
    <row r="1040" spans="1:14" ht="15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</row>
    <row r="1041" spans="1:14" ht="15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</row>
    <row r="1042" spans="1:14" ht="15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</row>
    <row r="1043" spans="1:14" ht="15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</row>
    <row r="1044" spans="1:14" ht="15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</row>
    <row r="1045" spans="1:14" ht="15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</row>
    <row r="1046" spans="1:14" ht="15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</row>
    <row r="1047" spans="1:14" ht="15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</row>
    <row r="1048" spans="1:14" ht="15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</row>
    <row r="1049" spans="1:14" ht="15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</row>
    <row r="1050" spans="1:14" ht="15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</row>
    <row r="1051" spans="1:14" ht="15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</row>
    <row r="1052" spans="1:14" ht="15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</row>
    <row r="1053" spans="1:14" ht="15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</row>
    <row r="1054" spans="1:14" ht="15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</row>
    <row r="1055" spans="1:14" ht="15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</row>
    <row r="1056" spans="1:14" ht="15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</row>
    <row r="1057" spans="1:14" ht="15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</row>
    <row r="1058" spans="1:14" ht="15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</row>
    <row r="1059" spans="1:14" ht="15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</row>
    <row r="1060" spans="1:14" ht="15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</row>
    <row r="1061" spans="1:14" ht="15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</row>
    <row r="1062" spans="1:14" ht="15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</row>
    <row r="1063" spans="1:14" ht="15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</row>
    <row r="1064" spans="1:14" ht="15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</row>
    <row r="1065" spans="1:14" ht="15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</row>
    <row r="1066" spans="1:14" ht="15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</row>
    <row r="1067" spans="1:14" ht="15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</row>
    <row r="1068" spans="1:14" ht="15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</row>
    <row r="1069" spans="1:14" ht="15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</row>
    <row r="1070" spans="1:14" ht="15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</row>
    <row r="1071" spans="1:14" ht="15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</row>
    <row r="1072" spans="1:14" ht="15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</row>
    <row r="1073" spans="1:14" ht="15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</row>
    <row r="1074" spans="1:14" ht="15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</row>
    <row r="1075" spans="1:14" ht="15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</row>
    <row r="1076" spans="1:14" ht="15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</row>
    <row r="1077" spans="1:14" ht="15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</row>
    <row r="1078" spans="1:14" ht="15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</row>
    <row r="1079" spans="1:14" ht="15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</row>
    <row r="1080" spans="1:14" ht="15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</row>
    <row r="1081" spans="1:14" ht="15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</row>
    <row r="1082" spans="1:14" ht="15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</row>
    <row r="1083" spans="1:14" ht="15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</row>
    <row r="1084" spans="1:14" ht="15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</row>
    <row r="1085" spans="1:14" ht="15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</row>
    <row r="1086" spans="1:14" ht="15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</row>
    <row r="1087" spans="1:14" ht="15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</row>
    <row r="1088" spans="1:14" ht="15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</row>
    <row r="1089" spans="1:14" ht="15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</row>
    <row r="1090" spans="1:14" ht="15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</row>
    <row r="1091" spans="1:14" ht="15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</row>
    <row r="1092" spans="1:14" ht="15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</row>
    <row r="1093" spans="1:14" ht="15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</row>
    <row r="1094" spans="1:14" ht="15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</row>
    <row r="1095" spans="1:14" ht="15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</row>
    <row r="1096" spans="1:14" ht="15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</row>
    <row r="1097" spans="1:14" ht="15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</row>
    <row r="1098" spans="1:14" ht="15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</row>
    <row r="1099" spans="1:14" ht="15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</row>
    <row r="1100" spans="1:14" ht="15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</row>
    <row r="1101" spans="1:14" ht="15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</row>
    <row r="1102" spans="1:14" ht="15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</row>
    <row r="1103" spans="1:14" ht="15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</row>
    <row r="1104" spans="1:14" ht="15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</row>
    <row r="1105" spans="1:14" ht="15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</row>
    <row r="1106" spans="1:14" ht="15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</row>
    <row r="1107" spans="1:14" ht="15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</row>
    <row r="1108" spans="1:14" ht="15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</row>
    <row r="1109" spans="1:14" ht="15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</row>
    <row r="1110" spans="1:14" ht="15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</row>
    <row r="1111" spans="1:14" ht="15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</row>
    <row r="1112" spans="1:14" ht="15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</row>
    <row r="1113" spans="1:14" ht="15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</row>
    <row r="1114" spans="1:14" ht="15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</row>
    <row r="1115" spans="1:14" ht="15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</row>
    <row r="1116" spans="1:14" ht="15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</row>
    <row r="1117" spans="1:14" ht="15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</row>
    <row r="1118" spans="1:14" ht="15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</row>
    <row r="1119" spans="1:14" ht="15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</row>
    <row r="1120" spans="1:14" ht="15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</row>
    <row r="1121" spans="1:14" ht="15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</row>
    <row r="1122" spans="1:14" ht="15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</row>
    <row r="1123" spans="1:14" ht="15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</row>
    <row r="1124" spans="1:14" ht="15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</row>
    <row r="1125" spans="1:14" ht="15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</row>
    <row r="1126" spans="1:14" ht="15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</row>
    <row r="1127" spans="1:14" ht="15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</row>
    <row r="1128" spans="1:14" ht="15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</row>
    <row r="1129" spans="1:14" ht="15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</row>
    <row r="1130" spans="1:14" ht="15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</row>
    <row r="1131" spans="1:14" ht="15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</row>
    <row r="1132" spans="1:14" ht="15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</row>
    <row r="1133" spans="1:14" ht="15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</row>
    <row r="1134" spans="1:14" ht="15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</row>
    <row r="1135" spans="1:14" ht="15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</row>
    <row r="1136" spans="1:14" ht="15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</row>
    <row r="1137" spans="1:14" ht="15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</row>
    <row r="1138" spans="1:14" ht="15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</row>
    <row r="1139" spans="1:14" ht="15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</row>
    <row r="1140" spans="1:14" ht="15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</row>
    <row r="1141" spans="1:14" ht="15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</row>
    <row r="1142" spans="1:14" ht="15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</row>
    <row r="1143" spans="1:14" ht="15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</row>
    <row r="1144" spans="1:14" ht="15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</row>
    <row r="1145" spans="1:14" ht="15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</row>
    <row r="1146" spans="1:14" ht="15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</row>
    <row r="1147" spans="1:14" ht="15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</row>
    <row r="1148" spans="1:14" ht="15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</row>
    <row r="1149" spans="1:14" ht="15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</row>
    <row r="1150" spans="1:14" ht="15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</row>
    <row r="1151" spans="1:14" ht="15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</row>
    <row r="1152" spans="1:14" ht="15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</row>
    <row r="1153" spans="1:14" ht="15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</row>
    <row r="1154" spans="1:14" ht="15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</row>
    <row r="1155" spans="1:14" ht="15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</row>
    <row r="1156" spans="1:14" ht="15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</row>
    <row r="1157" spans="1:14" ht="15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</row>
    <row r="1158" spans="1:14" ht="15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</row>
    <row r="1159" spans="1:14" ht="15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</row>
    <row r="1160" spans="1:14" ht="15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</row>
    <row r="1161" spans="1:14" ht="15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</row>
    <row r="1162" spans="1:14" ht="15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</row>
    <row r="1163" spans="1:14" ht="15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</row>
    <row r="1164" spans="1:14" ht="15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</row>
    <row r="1165" spans="1:14" ht="15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</row>
    <row r="1166" spans="1:14" ht="15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</row>
    <row r="1167" spans="1:14" ht="15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</row>
    <row r="1168" spans="1:14" ht="15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</row>
    <row r="1169" spans="1:14" ht="15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</row>
    <row r="1170" spans="1:14" ht="15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</row>
    <row r="1171" spans="1:14" ht="15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</row>
    <row r="1172" spans="1:14" ht="15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</row>
    <row r="1173" spans="1:14" ht="15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</row>
    <row r="1174" spans="1:14" ht="15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</row>
    <row r="1175" spans="1:14" ht="15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</row>
    <row r="1176" spans="1:14" ht="15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</row>
    <row r="1177" spans="1:14" ht="15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</row>
    <row r="1178" spans="1:14" ht="15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</row>
    <row r="1179" spans="1:14" ht="15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</row>
    <row r="1180" spans="1:14" ht="15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</row>
    <row r="1181" spans="1:14" ht="15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</row>
    <row r="1182" spans="1:14" ht="15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</row>
    <row r="1183" spans="1:14" ht="15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</row>
    <row r="1184" spans="1:14" ht="15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</row>
    <row r="1185" spans="1:14" ht="15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</row>
    <row r="1186" spans="1:14" ht="15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</row>
    <row r="1187" spans="1:14" ht="15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</row>
    <row r="1188" spans="1:14" ht="15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</row>
    <row r="1189" spans="1:14" ht="15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</row>
    <row r="1190" spans="1:14" ht="15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</row>
    <row r="1191" spans="1:14" ht="15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</row>
    <row r="1192" spans="1:14" ht="15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</row>
    <row r="1193" spans="1:14" ht="15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</row>
    <row r="1194" spans="1:14" ht="15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</row>
    <row r="1195" spans="1:14" ht="15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</row>
    <row r="1196" spans="1:14" ht="15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</row>
    <row r="1197" spans="1:14" ht="15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</row>
    <row r="1198" spans="1:14" ht="15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</row>
    <row r="1199" spans="1:14" ht="15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</row>
    <row r="1200" spans="1:14" ht="15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</row>
    <row r="1201" spans="1:14" ht="15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</row>
    <row r="1202" spans="1:14" ht="15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</row>
    <row r="1203" spans="1:14" ht="15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</row>
    <row r="1204" spans="1:14" ht="15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</row>
    <row r="1205" spans="1:14" ht="15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</row>
    <row r="1206" spans="1:14" ht="15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</row>
    <row r="1207" spans="1:14" ht="15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</row>
    <row r="1208" spans="1:14" ht="15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</row>
    <row r="1209" spans="1:14" ht="15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</row>
    <row r="1210" spans="1:14" ht="15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</row>
    <row r="1211" spans="1:14" ht="15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</row>
    <row r="1212" spans="1:14" ht="15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</row>
    <row r="1213" spans="1:14" ht="15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</row>
    <row r="1214" spans="1:14" ht="15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</row>
    <row r="1215" spans="1:14" ht="15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</row>
    <row r="1216" spans="1:14" ht="15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</row>
    <row r="1217" spans="1:14" ht="15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</row>
    <row r="1218" spans="1:14" ht="15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</row>
    <row r="1219" spans="1:14" ht="15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</row>
    <row r="1220" spans="1:14" ht="15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</row>
    <row r="1221" spans="1:14" ht="15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</row>
    <row r="1222" spans="1:14" ht="15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</row>
    <row r="1223" spans="1:14" ht="15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</row>
    <row r="1224" spans="1:14" ht="15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</row>
    <row r="1225" spans="1:14" ht="15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</row>
    <row r="1226" spans="1:14" ht="15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</row>
    <row r="1227" spans="1:14" ht="15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</row>
    <row r="1228" spans="1:14" ht="15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</row>
    <row r="1229" spans="1:14" ht="15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</row>
    <row r="1230" spans="1:14" ht="15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</row>
    <row r="1231" spans="1:14" ht="15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</row>
    <row r="1232" spans="1:14" ht="15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</row>
    <row r="1233" spans="1:14" ht="15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</row>
    <row r="1234" spans="1:14" ht="15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</row>
    <row r="1235" spans="1:14" ht="15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</row>
    <row r="1236" spans="1:14" ht="15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</row>
    <row r="1237" spans="1:14" ht="15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</row>
    <row r="1238" spans="1:14" ht="15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</row>
    <row r="1239" spans="1:14" ht="15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</row>
    <row r="1240" spans="1:14" ht="15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</row>
    <row r="1241" spans="1:14" ht="15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</row>
    <row r="1242" spans="1:14" ht="15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</row>
    <row r="1243" spans="1:14" ht="15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</row>
    <row r="1244" spans="1:14" ht="15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</row>
    <row r="1245" spans="1:14" ht="15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</row>
    <row r="1246" spans="1:14" ht="15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</row>
    <row r="1247" spans="1:14" ht="15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</row>
    <row r="1248" spans="1:14" ht="15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</row>
    <row r="1249" spans="1:14" ht="15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</row>
    <row r="1250" spans="1:14" ht="15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</row>
    <row r="1251" spans="1:14" ht="15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</row>
    <row r="1252" spans="1:14" ht="15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</row>
    <row r="1253" spans="1:14" ht="15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</row>
    <row r="1254" spans="1:14" ht="15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</row>
    <row r="1255" spans="1:14" ht="15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</row>
    <row r="1256" spans="1:14" ht="15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</row>
    <row r="1257" spans="1:14" ht="15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</row>
    <row r="1258" spans="1:14" ht="15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</row>
    <row r="1259" spans="1:14" ht="15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</row>
    <row r="1260" spans="1:14" ht="15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</row>
    <row r="1261" spans="1:14" ht="15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</row>
    <row r="1262" spans="1:14" ht="15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</row>
    <row r="1263" spans="1:14" ht="15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</row>
    <row r="1264" spans="1:14" ht="15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</row>
    <row r="1265" spans="1:14" ht="15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</row>
    <row r="1266" spans="1:14" ht="15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</row>
    <row r="1267" spans="1:14" ht="15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</row>
    <row r="1268" spans="1:14" ht="15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</row>
    <row r="1269" spans="1:14" ht="15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</row>
    <row r="1270" spans="1:14" ht="15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</row>
    <row r="1271" spans="1:14" ht="15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</row>
    <row r="1272" spans="1:14" ht="15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</row>
    <row r="1273" spans="1:14" ht="15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</row>
    <row r="1274" spans="1:14" ht="15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</row>
    <row r="1275" spans="1:14" ht="15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</row>
    <row r="1276" spans="1:14" ht="15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</row>
    <row r="1277" spans="1:14" ht="15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</row>
    <row r="1278" spans="1:14" ht="15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</row>
    <row r="1279" spans="1:14" ht="15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</row>
    <row r="1280" spans="1:14" ht="15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</row>
    <row r="1281" spans="1:14" ht="15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</row>
    <row r="1282" spans="1:14" ht="15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</row>
    <row r="1283" spans="1:14" ht="15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</row>
    <row r="1284" spans="1:14" ht="15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</row>
    <row r="1285" spans="1:14" ht="15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</row>
    <row r="1286" spans="1:14" ht="15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</row>
    <row r="1287" spans="1:14" ht="15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</row>
    <row r="1288" spans="1:14" ht="15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</row>
    <row r="1289" spans="1:14" ht="15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</row>
    <row r="1290" spans="1:14" ht="15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</row>
    <row r="1291" spans="1:14" ht="15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</row>
    <row r="1292" spans="1:14" ht="15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</row>
    <row r="1293" spans="1:14" ht="15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</row>
    <row r="1294" spans="1:14" ht="15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</row>
    <row r="1295" spans="1:14" ht="15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</row>
    <row r="1296" spans="1:14" ht="15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</row>
    <row r="1297" spans="1:14" ht="15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</row>
    <row r="1298" spans="1:14" ht="15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</row>
    <row r="1299" spans="1:14" ht="15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</row>
    <row r="1300" spans="1:14" ht="15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</row>
    <row r="1301" spans="1:14" ht="15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</row>
    <row r="1302" spans="1:14" ht="15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</row>
    <row r="1303" spans="1:14" ht="15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</row>
    <row r="1304" spans="1:14" ht="15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</row>
    <row r="1305" spans="1:14" ht="15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</row>
    <row r="1306" spans="1:14" ht="15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</row>
    <row r="1307" spans="1:14" ht="15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</row>
    <row r="1308" spans="1:14" ht="15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</row>
    <row r="1309" spans="1:14" ht="15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</row>
    <row r="1310" spans="1:14" ht="15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</row>
    <row r="1311" spans="1:14" ht="15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</row>
    <row r="1312" spans="1:14" ht="15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</row>
    <row r="1313" spans="1:14" ht="15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</row>
    <row r="1314" spans="1:14" ht="15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</row>
    <row r="1315" spans="1:14" ht="15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</row>
    <row r="1316" spans="1:14" ht="15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</row>
    <row r="1317" spans="1:14" ht="15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</row>
    <row r="1318" spans="1:14" ht="15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</row>
    <row r="1319" spans="1:14" ht="15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</row>
    <row r="1320" spans="1:14" ht="15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</row>
    <row r="1321" spans="1:14" ht="15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</row>
    <row r="1322" spans="1:14" ht="15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</row>
    <row r="1323" spans="1:14" ht="15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</row>
    <row r="1324" spans="1:14" ht="15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</row>
    <row r="1325" spans="1:14" ht="15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</row>
    <row r="1326" spans="1:14" ht="15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</row>
    <row r="1327" spans="1:14" ht="15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</row>
    <row r="1328" spans="1:14" ht="15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</row>
  </sheetData>
  <mergeCells count="47">
    <mergeCell ref="A147:N147"/>
    <mergeCell ref="A148:N148"/>
    <mergeCell ref="A157:N157"/>
    <mergeCell ref="A158:N158"/>
    <mergeCell ref="A159:N159"/>
    <mergeCell ref="A146:N146"/>
    <mergeCell ref="A103:N103"/>
    <mergeCell ref="A104:N104"/>
    <mergeCell ref="A105:N105"/>
    <mergeCell ref="A115:N115"/>
    <mergeCell ref="A116:N116"/>
    <mergeCell ref="A125:N125"/>
    <mergeCell ref="A126:N126"/>
    <mergeCell ref="A127:N127"/>
    <mergeCell ref="A136:N136"/>
    <mergeCell ref="A137:N137"/>
    <mergeCell ref="A138:N138"/>
    <mergeCell ref="A94:N94"/>
    <mergeCell ref="A60:N60"/>
    <mergeCell ref="A61:N61"/>
    <mergeCell ref="A62:N62"/>
    <mergeCell ref="A71:N71"/>
    <mergeCell ref="A72:N72"/>
    <mergeCell ref="A73:N73"/>
    <mergeCell ref="A82:N82"/>
    <mergeCell ref="A83:N83"/>
    <mergeCell ref="A84:N84"/>
    <mergeCell ref="A92:N92"/>
    <mergeCell ref="A93:N93"/>
    <mergeCell ref="A51:N51"/>
    <mergeCell ref="A14:N14"/>
    <mergeCell ref="A15:N15"/>
    <mergeCell ref="A16:N16"/>
    <mergeCell ref="A27:N27"/>
    <mergeCell ref="A28:N28"/>
    <mergeCell ref="A29:N29"/>
    <mergeCell ref="A38:N38"/>
    <mergeCell ref="A39:N39"/>
    <mergeCell ref="A40:N40"/>
    <mergeCell ref="A49:N49"/>
    <mergeCell ref="A50:N50"/>
    <mergeCell ref="A6:N6"/>
    <mergeCell ref="A1:N1"/>
    <mergeCell ref="D2:F2"/>
    <mergeCell ref="H2:J2"/>
    <mergeCell ref="K2:N2"/>
    <mergeCell ref="A5:N5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4" manualBreakCount="4">
    <brk id="37" max="13" man="1"/>
    <brk id="70" min="1" max="13" man="1"/>
    <brk id="102" max="13" man="1"/>
    <brk id="1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на 11-18 лет</vt:lpstr>
      <vt:lpstr>'Меню на 11-18 лет'!Область_печати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secretar</cp:lastModifiedBy>
  <cp:lastPrinted>2022-04-01T09:18:12Z</cp:lastPrinted>
  <dcterms:created xsi:type="dcterms:W3CDTF">2015-06-05T18:19:34Z</dcterms:created>
  <dcterms:modified xsi:type="dcterms:W3CDTF">2022-09-19T04:42:39Z</dcterms:modified>
</cp:coreProperties>
</file>