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Меню на 7-11 лет " sheetId="4" r:id="rId1"/>
  </sheets>
  <definedNames>
    <definedName name="_xlnm.Print_Area" localSheetId="0">'Меню на 7-11 лет '!$A$1:$N$168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5" i="4"/>
  <c r="M145"/>
  <c r="L145"/>
  <c r="K145"/>
  <c r="H145"/>
  <c r="G145"/>
  <c r="F145"/>
  <c r="E145"/>
  <c r="D145"/>
  <c r="N129"/>
  <c r="M129"/>
  <c r="L129"/>
  <c r="K129"/>
  <c r="I129"/>
  <c r="H129"/>
  <c r="F129"/>
  <c r="E129"/>
  <c r="D129"/>
  <c r="E82"/>
  <c r="F82"/>
  <c r="G82"/>
  <c r="H82"/>
  <c r="I82"/>
  <c r="J82"/>
  <c r="K82"/>
  <c r="L82"/>
  <c r="M82"/>
  <c r="N82"/>
  <c r="D82"/>
  <c r="F41"/>
  <c r="E41"/>
  <c r="D41"/>
  <c r="E26"/>
  <c r="F26"/>
  <c r="G26"/>
  <c r="H26"/>
  <c r="I26"/>
  <c r="J26"/>
  <c r="K26"/>
  <c r="L26"/>
  <c r="M26"/>
  <c r="N26"/>
  <c r="D26"/>
  <c r="K152" l="1"/>
  <c r="N164"/>
  <c r="M164"/>
  <c r="L164"/>
  <c r="K164"/>
  <c r="H164"/>
  <c r="G164"/>
  <c r="F164"/>
  <c r="E164"/>
  <c r="D164"/>
  <c r="N163"/>
  <c r="M163"/>
  <c r="L163"/>
  <c r="K163"/>
  <c r="J163"/>
  <c r="I163"/>
  <c r="H163"/>
  <c r="G163"/>
  <c r="F163"/>
  <c r="E163"/>
  <c r="D163"/>
  <c r="N162"/>
  <c r="M162"/>
  <c r="L162"/>
  <c r="K162"/>
  <c r="J162"/>
  <c r="H162"/>
  <c r="G162"/>
  <c r="F162"/>
  <c r="E162"/>
  <c r="D162"/>
  <c r="N161"/>
  <c r="M161"/>
  <c r="L161"/>
  <c r="K161"/>
  <c r="I161"/>
  <c r="H161"/>
  <c r="G161"/>
  <c r="F161"/>
  <c r="E161"/>
  <c r="D161"/>
  <c r="D157"/>
  <c r="N154"/>
  <c r="M154"/>
  <c r="L154"/>
  <c r="K154"/>
  <c r="J154"/>
  <c r="I154"/>
  <c r="H154"/>
  <c r="G154"/>
  <c r="F154"/>
  <c r="E154"/>
  <c r="D154"/>
  <c r="N153"/>
  <c r="M153"/>
  <c r="L153"/>
  <c r="K153"/>
  <c r="H153"/>
  <c r="G153"/>
  <c r="F153"/>
  <c r="E153"/>
  <c r="D153"/>
  <c r="N152"/>
  <c r="M152"/>
  <c r="L152"/>
  <c r="J152"/>
  <c r="H152"/>
  <c r="G152"/>
  <c r="F152"/>
  <c r="E152"/>
  <c r="D152"/>
  <c r="N150"/>
  <c r="M150"/>
  <c r="L150"/>
  <c r="K150"/>
  <c r="J150"/>
  <c r="I150"/>
  <c r="H150"/>
  <c r="G150"/>
  <c r="F150"/>
  <c r="E150"/>
  <c r="D150"/>
  <c r="D146" l="1"/>
  <c r="N142"/>
  <c r="M142"/>
  <c r="L142"/>
  <c r="K142"/>
  <c r="H142"/>
  <c r="G142"/>
  <c r="F142"/>
  <c r="E142"/>
  <c r="D142"/>
  <c r="N141"/>
  <c r="M141"/>
  <c r="L141"/>
  <c r="K141"/>
  <c r="I141"/>
  <c r="H141"/>
  <c r="G141"/>
  <c r="F141"/>
  <c r="E141"/>
  <c r="D141"/>
  <c r="N132"/>
  <c r="M132"/>
  <c r="L132"/>
  <c r="K132"/>
  <c r="H132"/>
  <c r="G132"/>
  <c r="F132"/>
  <c r="E132"/>
  <c r="D132"/>
  <c r="N131"/>
  <c r="M131"/>
  <c r="L131"/>
  <c r="K131"/>
  <c r="J131"/>
  <c r="I131"/>
  <c r="H131"/>
  <c r="N122"/>
  <c r="M122"/>
  <c r="L122"/>
  <c r="K122"/>
  <c r="H122"/>
  <c r="G122"/>
  <c r="F122"/>
  <c r="E122"/>
  <c r="D122"/>
  <c r="H119"/>
  <c r="D119"/>
  <c r="N119"/>
  <c r="M119"/>
  <c r="L119"/>
  <c r="K119"/>
  <c r="J119"/>
  <c r="I119"/>
  <c r="G119"/>
  <c r="F119"/>
  <c r="E119"/>
  <c r="N118"/>
  <c r="M118"/>
  <c r="L118"/>
  <c r="K118"/>
  <c r="J118"/>
  <c r="I118"/>
  <c r="H118"/>
  <c r="G118"/>
  <c r="F118"/>
  <c r="E118"/>
  <c r="D118"/>
  <c r="N112"/>
  <c r="M112"/>
  <c r="L112"/>
  <c r="K112"/>
  <c r="H112"/>
  <c r="G112"/>
  <c r="F112"/>
  <c r="E112"/>
  <c r="D112"/>
  <c r="N110"/>
  <c r="M110"/>
  <c r="L110"/>
  <c r="K110"/>
  <c r="H110"/>
  <c r="G110"/>
  <c r="F110"/>
  <c r="E110"/>
  <c r="D110"/>
  <c r="N109"/>
  <c r="M109"/>
  <c r="L109"/>
  <c r="K109"/>
  <c r="I109"/>
  <c r="H109"/>
  <c r="G109"/>
  <c r="F109"/>
  <c r="E109"/>
  <c r="D109"/>
  <c r="N108"/>
  <c r="I108"/>
  <c r="M108"/>
  <c r="L108"/>
  <c r="K108"/>
  <c r="J108"/>
  <c r="H108"/>
  <c r="G108"/>
  <c r="F108"/>
  <c r="E108"/>
  <c r="D108"/>
  <c r="H107"/>
  <c r="N107"/>
  <c r="M107"/>
  <c r="L107"/>
  <c r="K107"/>
  <c r="J107"/>
  <c r="I107"/>
  <c r="G107"/>
  <c r="F107"/>
  <c r="E107"/>
  <c r="D107"/>
  <c r="N100"/>
  <c r="M100"/>
  <c r="L100"/>
  <c r="K100"/>
  <c r="H100"/>
  <c r="G100"/>
  <c r="F100"/>
  <c r="E100"/>
  <c r="D100"/>
  <c r="N99"/>
  <c r="M99"/>
  <c r="L99"/>
  <c r="K99"/>
  <c r="I99"/>
  <c r="H99"/>
  <c r="G99"/>
  <c r="F99"/>
  <c r="E99"/>
  <c r="D99"/>
  <c r="N98"/>
  <c r="M98"/>
  <c r="L98"/>
  <c r="K98"/>
  <c r="J98"/>
  <c r="H98"/>
  <c r="G98"/>
  <c r="F98"/>
  <c r="E98"/>
  <c r="D98"/>
  <c r="N97"/>
  <c r="M97"/>
  <c r="L97"/>
  <c r="K97"/>
  <c r="J97"/>
  <c r="H97"/>
  <c r="G97"/>
  <c r="F97"/>
  <c r="E97"/>
  <c r="D97"/>
  <c r="N96" l="1"/>
  <c r="M96"/>
  <c r="L96"/>
  <c r="K96"/>
  <c r="I96"/>
  <c r="H96"/>
  <c r="G96"/>
  <c r="F96"/>
  <c r="E96"/>
  <c r="D96"/>
  <c r="D92"/>
  <c r="N89"/>
  <c r="M89"/>
  <c r="L89"/>
  <c r="K89"/>
  <c r="H89"/>
  <c r="G89"/>
  <c r="F89"/>
  <c r="E89"/>
  <c r="D89"/>
  <c r="N88"/>
  <c r="M88"/>
  <c r="L88"/>
  <c r="K88"/>
  <c r="J88"/>
  <c r="H88"/>
  <c r="G88"/>
  <c r="F88"/>
  <c r="E88"/>
  <c r="D88"/>
  <c r="N86"/>
  <c r="M86"/>
  <c r="L86"/>
  <c r="K86"/>
  <c r="J86"/>
  <c r="I86"/>
  <c r="H86"/>
  <c r="G86"/>
  <c r="F86"/>
  <c r="E86"/>
  <c r="D86"/>
  <c r="D70"/>
  <c r="N78"/>
  <c r="M78"/>
  <c r="L78"/>
  <c r="K78"/>
  <c r="H78"/>
  <c r="G78"/>
  <c r="F78"/>
  <c r="E78"/>
  <c r="D78"/>
  <c r="N77"/>
  <c r="M77"/>
  <c r="L77"/>
  <c r="K77"/>
  <c r="J77"/>
  <c r="I77"/>
  <c r="H77"/>
  <c r="G77"/>
  <c r="F77"/>
  <c r="E77"/>
  <c r="D77"/>
  <c r="H74" l="1"/>
  <c r="N66"/>
  <c r="M66"/>
  <c r="L66"/>
  <c r="K66"/>
  <c r="H66"/>
  <c r="G66"/>
  <c r="F66"/>
  <c r="E66"/>
  <c r="D66"/>
  <c r="N64"/>
  <c r="M64"/>
  <c r="L64"/>
  <c r="K64"/>
  <c r="J64"/>
  <c r="H64"/>
  <c r="G64"/>
  <c r="F64"/>
  <c r="E64"/>
  <c r="D64"/>
  <c r="N63"/>
  <c r="M63"/>
  <c r="L63"/>
  <c r="K63"/>
  <c r="J63"/>
  <c r="I63"/>
  <c r="H63"/>
  <c r="G63"/>
  <c r="E63"/>
  <c r="F63"/>
  <c r="D63"/>
  <c r="N57"/>
  <c r="M57"/>
  <c r="L57"/>
  <c r="K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H55"/>
  <c r="G55"/>
  <c r="F55"/>
  <c r="E55"/>
  <c r="D55"/>
  <c r="N54"/>
  <c r="M54"/>
  <c r="L54"/>
  <c r="K54"/>
  <c r="J54"/>
  <c r="H54"/>
  <c r="G54"/>
  <c r="F54"/>
  <c r="E54"/>
  <c r="D54"/>
  <c r="N53"/>
  <c r="L53"/>
  <c r="G53"/>
  <c r="D53"/>
  <c r="N45"/>
  <c r="M45"/>
  <c r="L45"/>
  <c r="K45"/>
  <c r="H45"/>
  <c r="G45"/>
  <c r="F45"/>
  <c r="E45"/>
  <c r="D45"/>
  <c r="N44"/>
  <c r="M44"/>
  <c r="L44"/>
  <c r="K44"/>
  <c r="J44"/>
  <c r="H44"/>
  <c r="G44"/>
  <c r="F44"/>
  <c r="E44"/>
  <c r="D44"/>
  <c r="N43"/>
  <c r="M43"/>
  <c r="L43"/>
  <c r="K43"/>
  <c r="J43"/>
  <c r="I43"/>
  <c r="H43"/>
  <c r="G43"/>
  <c r="F43"/>
  <c r="E43"/>
  <c r="D43"/>
  <c r="N41"/>
  <c r="M41"/>
  <c r="L41"/>
  <c r="K41"/>
  <c r="I41"/>
  <c r="H41"/>
  <c r="N33"/>
  <c r="M33"/>
  <c r="L33"/>
  <c r="K33"/>
  <c r="H33"/>
  <c r="G33"/>
  <c r="F33"/>
  <c r="E33"/>
  <c r="D33"/>
  <c r="N32"/>
  <c r="M32"/>
  <c r="L32"/>
  <c r="K32"/>
  <c r="I32"/>
  <c r="H32"/>
  <c r="G32"/>
  <c r="F32"/>
  <c r="E32"/>
  <c r="D32"/>
  <c r="N30"/>
  <c r="L30"/>
  <c r="K30"/>
  <c r="J30"/>
  <c r="I30"/>
  <c r="H30"/>
  <c r="G30"/>
  <c r="F30"/>
  <c r="E30"/>
  <c r="D30"/>
  <c r="N22"/>
  <c r="M22"/>
  <c r="L22"/>
  <c r="K22"/>
  <c r="H22"/>
  <c r="G22"/>
  <c r="F22"/>
  <c r="E22"/>
  <c r="D22"/>
  <c r="I21"/>
  <c r="N21"/>
  <c r="M21"/>
  <c r="L21"/>
  <c r="K21"/>
  <c r="H21"/>
  <c r="G21"/>
  <c r="F21"/>
  <c r="E21"/>
  <c r="D21"/>
  <c r="N20"/>
  <c r="M20"/>
  <c r="L20"/>
  <c r="K20"/>
  <c r="J20"/>
  <c r="I20"/>
  <c r="H20"/>
  <c r="G20"/>
  <c r="F20"/>
  <c r="E20"/>
  <c r="D20"/>
  <c r="N18"/>
  <c r="M18"/>
  <c r="L18"/>
  <c r="K18"/>
  <c r="J18"/>
  <c r="I18"/>
  <c r="H18"/>
  <c r="G18"/>
  <c r="F18"/>
  <c r="E18"/>
  <c r="D18"/>
  <c r="N17"/>
  <c r="M17"/>
  <c r="L17"/>
  <c r="K17"/>
  <c r="I17"/>
  <c r="H17"/>
  <c r="G17"/>
  <c r="F17"/>
  <c r="E17"/>
  <c r="D17"/>
  <c r="D13"/>
  <c r="N12"/>
  <c r="M12"/>
  <c r="L12"/>
  <c r="K12"/>
  <c r="H12"/>
  <c r="G12"/>
  <c r="F12"/>
  <c r="E12"/>
  <c r="D12"/>
  <c r="N10"/>
  <c r="M10"/>
  <c r="L10"/>
  <c r="K10"/>
  <c r="H10"/>
  <c r="G10"/>
  <c r="F10"/>
  <c r="E10"/>
  <c r="D10"/>
  <c r="J9"/>
  <c r="N9"/>
  <c r="M9"/>
  <c r="L9"/>
  <c r="K9"/>
  <c r="I9"/>
  <c r="H9"/>
  <c r="F9"/>
  <c r="E9"/>
  <c r="D9"/>
  <c r="N8"/>
  <c r="M8"/>
  <c r="L8"/>
  <c r="K8"/>
  <c r="J8"/>
  <c r="H8"/>
  <c r="G8"/>
  <c r="F8"/>
  <c r="E8"/>
  <c r="D8"/>
  <c r="N7"/>
  <c r="M7"/>
  <c r="L7"/>
  <c r="K7"/>
  <c r="J7"/>
  <c r="I7"/>
  <c r="H7"/>
  <c r="G7"/>
  <c r="F7"/>
  <c r="E7"/>
  <c r="D7"/>
  <c r="G157" l="1"/>
  <c r="D136" l="1"/>
  <c r="E136" l="1"/>
  <c r="F136"/>
  <c r="G136"/>
  <c r="H136"/>
  <c r="I136"/>
  <c r="J136"/>
  <c r="K136"/>
  <c r="L136"/>
  <c r="M136"/>
  <c r="N136"/>
  <c r="D125"/>
  <c r="E125"/>
  <c r="H125"/>
  <c r="G125"/>
  <c r="J125"/>
  <c r="I125"/>
  <c r="N168"/>
  <c r="M168"/>
  <c r="I168"/>
  <c r="E168"/>
  <c r="J168"/>
  <c r="G168"/>
  <c r="F168"/>
  <c r="L168"/>
  <c r="K168"/>
  <c r="H168"/>
  <c r="D168"/>
  <c r="N157"/>
  <c r="M157"/>
  <c r="L157"/>
  <c r="K157"/>
  <c r="J157"/>
  <c r="I157"/>
  <c r="H157"/>
  <c r="F157"/>
  <c r="E157"/>
  <c r="N146"/>
  <c r="M146"/>
  <c r="L146"/>
  <c r="K146"/>
  <c r="J146"/>
  <c r="I146"/>
  <c r="H146"/>
  <c r="G146"/>
  <c r="F146"/>
  <c r="E146"/>
  <c r="M125"/>
  <c r="N125" l="1"/>
  <c r="L125"/>
  <c r="K125"/>
  <c r="F125"/>
  <c r="E92" l="1"/>
  <c r="F92"/>
  <c r="G92"/>
  <c r="H92"/>
  <c r="I92"/>
  <c r="J92"/>
  <c r="K92"/>
  <c r="L92"/>
  <c r="M92"/>
  <c r="N92"/>
  <c r="D48" l="1"/>
  <c r="E48"/>
  <c r="F48"/>
  <c r="G48"/>
  <c r="H48"/>
  <c r="I48"/>
  <c r="J48"/>
  <c r="K48"/>
  <c r="L48"/>
  <c r="M48"/>
  <c r="N48"/>
  <c r="E103" l="1"/>
  <c r="F103"/>
  <c r="G103"/>
  <c r="H103"/>
  <c r="I103"/>
  <c r="J103"/>
  <c r="K103"/>
  <c r="L103"/>
  <c r="M103"/>
  <c r="N103"/>
  <c r="D103"/>
  <c r="E70"/>
  <c r="F70"/>
  <c r="G70"/>
  <c r="H70"/>
  <c r="I70"/>
  <c r="J70"/>
  <c r="K70"/>
  <c r="L70"/>
  <c r="M70"/>
  <c r="N70"/>
  <c r="E59"/>
  <c r="F59"/>
  <c r="G59"/>
  <c r="H59"/>
  <c r="I59"/>
  <c r="J59"/>
  <c r="K59"/>
  <c r="L59"/>
  <c r="M59"/>
  <c r="N59"/>
  <c r="D59"/>
  <c r="E37"/>
  <c r="F37"/>
  <c r="G37"/>
  <c r="H37"/>
  <c r="I37"/>
  <c r="J37"/>
  <c r="K37"/>
  <c r="L37"/>
  <c r="M37"/>
  <c r="N37"/>
  <c r="D37"/>
  <c r="N114"/>
  <c r="M114"/>
  <c r="L114"/>
  <c r="K114"/>
  <c r="J114"/>
  <c r="I114"/>
  <c r="H114"/>
  <c r="G114"/>
  <c r="F114"/>
  <c r="E114"/>
  <c r="D114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<sst xmlns="http://schemas.openxmlformats.org/spreadsheetml/2006/main" count="180" uniqueCount="94">
  <si>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</si>
  <si>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</si>
  <si>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</si>
  <si>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</si>
  <si>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</si>
  <si>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</si>
  <si>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</si>
  <si>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</si>
  <si>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</si>
  <si>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</si>
  <si>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</si>
  <si>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</si>
  <si>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</si>
  <si>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Са</t>
  </si>
  <si>
    <t>Р</t>
  </si>
  <si>
    <t>Mg</t>
  </si>
  <si>
    <t>Fe</t>
  </si>
  <si>
    <t>Понедельник (первая неделя)</t>
  </si>
  <si>
    <t>ПР</t>
  </si>
  <si>
    <t>Макароны отварные</t>
  </si>
  <si>
    <t>Хлеб пшеничный</t>
  </si>
  <si>
    <t>ИТОГО</t>
  </si>
  <si>
    <t>Обед 7-11 лет</t>
  </si>
  <si>
    <t>Компот из сухофруктов</t>
  </si>
  <si>
    <t>Вторник (первая неделя)</t>
  </si>
  <si>
    <t>Среда (первая неделя)</t>
  </si>
  <si>
    <t>Рассольник ленинградский</t>
  </si>
  <si>
    <t>Четверг (первая неделя)</t>
  </si>
  <si>
    <t>Чай с лимоном</t>
  </si>
  <si>
    <t>Компот из кураги</t>
  </si>
  <si>
    <t>Пятница (первая неделя)</t>
  </si>
  <si>
    <t>Понедельник (вторая неделя)</t>
  </si>
  <si>
    <t>Вторник (вторая неделя)</t>
  </si>
  <si>
    <t>Среда (вторая неделя)</t>
  </si>
  <si>
    <t>Четверг (вторая неделя)</t>
  </si>
  <si>
    <t>Гуляш из говядины</t>
  </si>
  <si>
    <t>Пятница (вторая неделя)</t>
  </si>
  <si>
    <t>Напиток клюквенный</t>
  </si>
  <si>
    <t>Сок фруктовый</t>
  </si>
  <si>
    <t>Булочка</t>
  </si>
  <si>
    <t>Суп крестьянский с крупой</t>
  </si>
  <si>
    <t>Картофельное пюре</t>
  </si>
  <si>
    <t>Соус томатный</t>
  </si>
  <si>
    <t>Солянка сборная мясная</t>
  </si>
  <si>
    <t>Компот из фруктов</t>
  </si>
  <si>
    <t>Понедельник (третья неделя)</t>
  </si>
  <si>
    <t>Среда (третья неделя)</t>
  </si>
  <si>
    <t>Четверг (третья неделя)</t>
  </si>
  <si>
    <t>Пятница (третья неделя)</t>
  </si>
  <si>
    <t>Винегрет овощной</t>
  </si>
  <si>
    <t>Яйцо отварное</t>
  </si>
  <si>
    <t>Рис припущенный</t>
  </si>
  <si>
    <t>Жаркое по-домашнему</t>
  </si>
  <si>
    <t>Суп с рыбными консеврами</t>
  </si>
  <si>
    <t>Колбаса отварная</t>
  </si>
  <si>
    <t>Каша яневая вязкая</t>
  </si>
  <si>
    <t>200/7</t>
  </si>
  <si>
    <t>576/75</t>
  </si>
  <si>
    <t>Батон с сыром</t>
  </si>
  <si>
    <t>100/20</t>
  </si>
  <si>
    <t>Кура отварная (голень)</t>
  </si>
  <si>
    <t>Соус молочный</t>
  </si>
  <si>
    <t>Салат из свёклы с соленым огурцом</t>
  </si>
  <si>
    <t>Компот из фруктов и ягод</t>
  </si>
  <si>
    <t>Фрукт</t>
  </si>
  <si>
    <t>Суп с зелёным горошком</t>
  </si>
  <si>
    <t>Плов из отварной птицы</t>
  </si>
  <si>
    <t>Овощи свежие</t>
  </si>
  <si>
    <t xml:space="preserve">Кисель </t>
  </si>
  <si>
    <t>Голубцы ленивые</t>
  </si>
  <si>
    <t>Каша гречневая расспчатая</t>
  </si>
  <si>
    <t>Котлета рыбная</t>
  </si>
  <si>
    <t>Соус сметанный с  томатом</t>
  </si>
  <si>
    <t>Суп с макаронными изделиями и картофелем</t>
  </si>
  <si>
    <t>Котлета полуфабрикат мясная</t>
  </si>
  <si>
    <t>Печенье</t>
  </si>
  <si>
    <t>Борщ из свежей кпусты с картофелем</t>
  </si>
  <si>
    <t>Каша перловая рассыпчатая</t>
  </si>
  <si>
    <t>Щи из свежей капусты и картофеля</t>
  </si>
  <si>
    <t>Тефтели из говядины (ёжики)</t>
  </si>
  <si>
    <t>Пюре из гороха</t>
  </si>
  <si>
    <t>Рыба, тушенная в сметанном соусе</t>
  </si>
  <si>
    <t>Салат из свежих помидор и огурцов</t>
  </si>
  <si>
    <t xml:space="preserve">Чай </t>
  </si>
  <si>
    <t>Каша пшенная на молоке</t>
  </si>
  <si>
    <t>Котлета куринная полуфабрикат</t>
  </si>
  <si>
    <t>Кофейный напиток</t>
  </si>
  <si>
    <t>Птица в соусе с томатом</t>
  </si>
  <si>
    <t>Вторник (третья неделя)</t>
  </si>
  <si>
    <t>Суп картофельный с мясными фрикадельками</t>
  </si>
  <si>
    <t>Рассольник Домашний</t>
  </si>
  <si>
    <t>Котлета мясная</t>
  </si>
  <si>
    <t>Кекс</t>
  </si>
  <si>
    <t>Примерное меню питания школьников на 3 недели (обед)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</si>
</sst>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2" fontId="3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1" fontId="2" fillId="2" borderId="1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9"/>
  <sheetViews>
    <sheetView tabSelected="1" view="pageBreakPreview" zoomScale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/>
  <cols>
    <col min="1" max="1" width="9.140625" style="1"/>
    <col min="2" max="2" width="27.140625" style="1" customWidth="1"/>
    <col min="3" max="3" width="9.140625" style="1"/>
    <col min="4" max="4" width="10.5703125" style="1" bestFit="1" customWidth="1"/>
    <col min="5" max="6" width="9.140625" style="1"/>
    <col min="7" max="7" width="11.28515625" style="1" customWidth="1"/>
    <col min="8" max="13" width="0" style="1" hidden="1" customWidth="1"/>
    <col min="14" max="14" width="9.140625" style="1" hidden="1" customWidth="1"/>
    <col min="15" max="16384" width="9.140625" style="1"/>
  </cols>
  <sheetData>
    <row r="1" spans="1:14" ht="15.75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63">
      <c r="A2" s="18" t="s">
        <v>0</v>
      </c>
      <c r="B2" s="18" t="s">
        <v>1</v>
      </c>
      <c r="C2" s="18" t="s">
        <v>2</v>
      </c>
      <c r="D2" s="34" t="s">
        <v>3</v>
      </c>
      <c r="E2" s="34"/>
      <c r="F2" s="34"/>
      <c r="G2" s="18" t="s">
        <v>4</v>
      </c>
      <c r="H2" s="34" t="s">
        <v>5</v>
      </c>
      <c r="I2" s="34"/>
      <c r="J2" s="34"/>
      <c r="K2" s="34" t="s">
        <v>6</v>
      </c>
      <c r="L2" s="34"/>
      <c r="M2" s="34"/>
      <c r="N2" s="34"/>
    </row>
    <row r="3" spans="1:14" ht="15.75">
      <c r="A3" s="2"/>
      <c r="B3" s="2"/>
      <c r="C3" s="2"/>
      <c r="D3" s="2" t="s">
        <v>7</v>
      </c>
      <c r="E3" s="2" t="s">
        <v>8</v>
      </c>
      <c r="F3" s="2" t="s">
        <v>9</v>
      </c>
      <c r="G3" s="2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</row>
    <row r="4" spans="1:14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</row>
    <row r="5" spans="1:14" ht="15.75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>
      <c r="A6" s="35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31.5">
      <c r="A7" s="2">
        <v>122</v>
      </c>
      <c r="B7" s="3" t="s">
        <v>53</v>
      </c>
      <c r="C7" s="2">
        <v>200</v>
      </c>
      <c r="D7" s="4">
        <f>37.2*0.2</f>
        <v>7.4400000000000013</v>
      </c>
      <c r="E7" s="4">
        <f>45.36*0.2</f>
        <v>9.072000000000001</v>
      </c>
      <c r="F7" s="4">
        <f>40.2*0.2</f>
        <v>8.0400000000000009</v>
      </c>
      <c r="G7" s="4">
        <f>720*0.2</f>
        <v>144</v>
      </c>
      <c r="H7" s="4">
        <f>0.3*0.2</f>
        <v>0.06</v>
      </c>
      <c r="I7" s="4">
        <f>23*0.2</f>
        <v>4.6000000000000005</v>
      </c>
      <c r="J7" s="4">
        <f>60*0.2</f>
        <v>12</v>
      </c>
      <c r="K7" s="4">
        <f>122*0.2</f>
        <v>24.400000000000002</v>
      </c>
      <c r="L7" s="4">
        <f>586*0.2</f>
        <v>117.2</v>
      </c>
      <c r="M7" s="4">
        <f>129*0.2</f>
        <v>25.8</v>
      </c>
      <c r="N7" s="4">
        <f>4.07*0.2</f>
        <v>0.81400000000000006</v>
      </c>
    </row>
    <row r="8" spans="1:14" ht="15.75">
      <c r="A8" s="2">
        <v>77</v>
      </c>
      <c r="B8" s="3" t="s">
        <v>54</v>
      </c>
      <c r="C8" s="2">
        <v>70</v>
      </c>
      <c r="D8" s="4">
        <f>10.5*0.7</f>
        <v>7.35</v>
      </c>
      <c r="E8" s="4">
        <f>17.1*0.7</f>
        <v>11.97</v>
      </c>
      <c r="F8" s="4">
        <f>0.2*0.7</f>
        <v>0.13999999999999999</v>
      </c>
      <c r="G8" s="4">
        <f>197*0.7</f>
        <v>137.89999999999998</v>
      </c>
      <c r="H8" s="4">
        <f>0.14*0.7</f>
        <v>9.8000000000000004E-2</v>
      </c>
      <c r="I8" s="4">
        <v>0</v>
      </c>
      <c r="J8" s="4">
        <f>0.4*0.7</f>
        <v>0.27999999999999997</v>
      </c>
      <c r="K8" s="4">
        <f>32*0.7</f>
        <v>22.4</v>
      </c>
      <c r="L8" s="4">
        <f>118*0.7</f>
        <v>82.6</v>
      </c>
      <c r="M8" s="4">
        <f>16*0.7</f>
        <v>11.2</v>
      </c>
      <c r="N8" s="4">
        <f>1.36*0.7</f>
        <v>0.95199999999999996</v>
      </c>
    </row>
    <row r="9" spans="1:14" ht="15.75">
      <c r="A9" s="2">
        <v>227</v>
      </c>
      <c r="B9" s="3" t="s">
        <v>55</v>
      </c>
      <c r="C9" s="2">
        <v>205</v>
      </c>
      <c r="D9" s="4">
        <f>36.2/5</f>
        <v>7.24</v>
      </c>
      <c r="E9" s="4">
        <f>33.2/5</f>
        <v>6.6400000000000006</v>
      </c>
      <c r="F9" s="4">
        <f>165.6/5</f>
        <v>33.119999999999997</v>
      </c>
      <c r="G9" s="4">
        <v>221.2</v>
      </c>
      <c r="H9" s="4">
        <f>0.59/5</f>
        <v>0.11799999999999999</v>
      </c>
      <c r="I9" s="4">
        <f>6.3/5</f>
        <v>1.26</v>
      </c>
      <c r="J9" s="4">
        <f>193/5</f>
        <v>38.6</v>
      </c>
      <c r="K9" s="4">
        <f>772/5</f>
        <v>154.4</v>
      </c>
      <c r="L9" s="4">
        <f>1191/5</f>
        <v>238.2</v>
      </c>
      <c r="M9" s="4">
        <f>178/5</f>
        <v>35.6</v>
      </c>
      <c r="N9" s="4">
        <f>4.52/5</f>
        <v>0.90399999999999991</v>
      </c>
    </row>
    <row r="10" spans="1:14" ht="15.75">
      <c r="A10" s="2">
        <v>573</v>
      </c>
      <c r="B10" s="3" t="s">
        <v>20</v>
      </c>
      <c r="C10" s="2">
        <v>40</v>
      </c>
      <c r="D10" s="4">
        <f>7.6*0.4</f>
        <v>3.04</v>
      </c>
      <c r="E10" s="4">
        <f>0.8*0.4</f>
        <v>0.32000000000000006</v>
      </c>
      <c r="F10" s="4">
        <f>49.2*0.4</f>
        <v>19.680000000000003</v>
      </c>
      <c r="G10" s="4">
        <f>234*0.4</f>
        <v>93.600000000000009</v>
      </c>
      <c r="H10" s="4">
        <f>0.11*0.4</f>
        <v>4.4000000000000004E-2</v>
      </c>
      <c r="I10" s="4">
        <v>0</v>
      </c>
      <c r="J10" s="4">
        <v>0</v>
      </c>
      <c r="K10" s="4">
        <f>20*0.4</f>
        <v>8</v>
      </c>
      <c r="L10" s="4">
        <f>65*0.4</f>
        <v>26</v>
      </c>
      <c r="M10" s="4">
        <f>14*0.4</f>
        <v>5.6000000000000005</v>
      </c>
      <c r="N10" s="4">
        <f>1.1*0.4</f>
        <v>0.44000000000000006</v>
      </c>
    </row>
    <row r="11" spans="1:14" ht="15.75">
      <c r="A11" s="5">
        <v>459</v>
      </c>
      <c r="B11" s="3" t="s">
        <v>28</v>
      </c>
      <c r="C11" s="2" t="s">
        <v>56</v>
      </c>
      <c r="D11" s="4">
        <v>0.3</v>
      </c>
      <c r="E11" s="4">
        <v>0.1</v>
      </c>
      <c r="F11" s="4">
        <v>9.5</v>
      </c>
      <c r="G11" s="4">
        <v>40</v>
      </c>
      <c r="H11" s="4">
        <v>0</v>
      </c>
      <c r="I11" s="4">
        <v>0</v>
      </c>
      <c r="J11" s="4">
        <v>1</v>
      </c>
      <c r="K11" s="4">
        <v>7.9</v>
      </c>
      <c r="L11" s="4">
        <v>9.1</v>
      </c>
      <c r="M11" s="4">
        <v>5</v>
      </c>
      <c r="N11" s="4">
        <v>0.87</v>
      </c>
    </row>
    <row r="12" spans="1:14" ht="15.75">
      <c r="A12" s="5" t="s">
        <v>57</v>
      </c>
      <c r="B12" s="3" t="s">
        <v>58</v>
      </c>
      <c r="C12" s="2" t="s">
        <v>59</v>
      </c>
      <c r="D12" s="4">
        <f>7.5+23.2/5</f>
        <v>12.14</v>
      </c>
      <c r="E12" s="4">
        <f>2.9+29.5/5</f>
        <v>8.8000000000000007</v>
      </c>
      <c r="F12" s="4">
        <f>51.4</f>
        <v>51.4</v>
      </c>
      <c r="G12" s="4">
        <f>261+358/5</f>
        <v>332.6</v>
      </c>
      <c r="H12" s="4">
        <f>0.11+0.4/5</f>
        <v>0.19</v>
      </c>
      <c r="I12" s="4">
        <v>0.7</v>
      </c>
      <c r="J12" s="4">
        <v>260</v>
      </c>
      <c r="K12" s="4">
        <f>19+881/5</f>
        <v>195.2</v>
      </c>
      <c r="L12" s="4">
        <f>65+500/5</f>
        <v>165</v>
      </c>
      <c r="M12" s="4">
        <f>13+35/5</f>
        <v>20</v>
      </c>
      <c r="N12" s="4">
        <f>1.2+1/5</f>
        <v>1.4</v>
      </c>
    </row>
    <row r="13" spans="1:14" ht="15.75">
      <c r="A13" s="2"/>
      <c r="B13" s="6" t="s">
        <v>21</v>
      </c>
      <c r="C13" s="7"/>
      <c r="D13" s="8">
        <f>D7+D8+D9+D10+D11+D12</f>
        <v>37.510000000000005</v>
      </c>
      <c r="E13" s="8">
        <f t="shared" ref="E13:N13" si="0">E7+E8+E9+E10+E11+E12</f>
        <v>36.902000000000001</v>
      </c>
      <c r="F13" s="8">
        <f t="shared" si="0"/>
        <v>121.88</v>
      </c>
      <c r="G13" s="8">
        <f t="shared" si="0"/>
        <v>969.3</v>
      </c>
      <c r="H13" s="8">
        <f t="shared" si="0"/>
        <v>0.51</v>
      </c>
      <c r="I13" s="8">
        <f t="shared" si="0"/>
        <v>6.5600000000000005</v>
      </c>
      <c r="J13" s="8">
        <f t="shared" si="0"/>
        <v>311.88</v>
      </c>
      <c r="K13" s="8">
        <f t="shared" si="0"/>
        <v>412.29999999999995</v>
      </c>
      <c r="L13" s="8">
        <f t="shared" si="0"/>
        <v>638.1</v>
      </c>
      <c r="M13" s="8">
        <f t="shared" si="0"/>
        <v>103.19999999999999</v>
      </c>
      <c r="N13" s="8">
        <f t="shared" si="0"/>
        <v>5.38</v>
      </c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.75">
      <c r="A15" s="35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>
      <c r="A16" s="25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31.5">
      <c r="A17" s="2">
        <v>100</v>
      </c>
      <c r="B17" s="3" t="s">
        <v>26</v>
      </c>
      <c r="C17" s="2">
        <v>200</v>
      </c>
      <c r="D17" s="2">
        <f>10.5/5</f>
        <v>2.1</v>
      </c>
      <c r="E17" s="2">
        <f>20.4/5</f>
        <v>4.08</v>
      </c>
      <c r="F17" s="2">
        <f>53/5</f>
        <v>10.6</v>
      </c>
      <c r="G17" s="2">
        <f>438/5</f>
        <v>87.6</v>
      </c>
      <c r="H17" s="2">
        <f>0.36/5</f>
        <v>7.1999999999999995E-2</v>
      </c>
      <c r="I17" s="2">
        <f>28.4/5</f>
        <v>5.68</v>
      </c>
      <c r="J17" s="2">
        <v>0</v>
      </c>
      <c r="K17" s="2">
        <f>67/5</f>
        <v>13.4</v>
      </c>
      <c r="L17" s="2">
        <f>244/5</f>
        <v>48.8</v>
      </c>
      <c r="M17" s="2">
        <f>102/5</f>
        <v>20.399999999999999</v>
      </c>
      <c r="N17" s="2">
        <f>3.43/5</f>
        <v>0.68600000000000005</v>
      </c>
    </row>
    <row r="18" spans="1:14" ht="15.75">
      <c r="A18" s="2">
        <v>366</v>
      </c>
      <c r="B18" s="3" t="s">
        <v>60</v>
      </c>
      <c r="C18" s="2">
        <v>80</v>
      </c>
      <c r="D18" s="4">
        <f>16.2*0.8</f>
        <v>12.96</v>
      </c>
      <c r="E18" s="4">
        <f>12*0.8</f>
        <v>9.6000000000000014</v>
      </c>
      <c r="F18" s="4">
        <f>0.3*0.8</f>
        <v>0.24</v>
      </c>
      <c r="G18" s="4">
        <f>174*0.8</f>
        <v>139.20000000000002</v>
      </c>
      <c r="H18" s="4">
        <f>0.04*0.8</f>
        <v>3.2000000000000001E-2</v>
      </c>
      <c r="I18" s="4">
        <f>0.4*0.8</f>
        <v>0.32000000000000006</v>
      </c>
      <c r="J18" s="4">
        <f>40*0.8</f>
        <v>32</v>
      </c>
      <c r="K18" s="4">
        <f>18*0.8</f>
        <v>14.4</v>
      </c>
      <c r="L18" s="4">
        <f>112*0.8</f>
        <v>89.600000000000009</v>
      </c>
      <c r="M18" s="4">
        <f>13*0.8</f>
        <v>10.4</v>
      </c>
      <c r="N18" s="4">
        <f>1.18*0.8</f>
        <v>0.94399999999999995</v>
      </c>
    </row>
    <row r="19" spans="1:14" ht="15.75">
      <c r="A19" s="2">
        <v>256</v>
      </c>
      <c r="B19" s="3" t="s">
        <v>19</v>
      </c>
      <c r="C19" s="2">
        <v>100</v>
      </c>
      <c r="D19" s="4">
        <v>3.7</v>
      </c>
      <c r="E19" s="4">
        <v>3.3</v>
      </c>
      <c r="F19" s="4">
        <v>19.7</v>
      </c>
      <c r="G19" s="4">
        <v>123</v>
      </c>
      <c r="H19" s="4">
        <v>0.04</v>
      </c>
      <c r="I19" s="4">
        <v>0</v>
      </c>
      <c r="J19" s="4">
        <v>21</v>
      </c>
      <c r="K19" s="4">
        <v>8</v>
      </c>
      <c r="L19" s="4">
        <v>30</v>
      </c>
      <c r="M19" s="4">
        <v>5</v>
      </c>
      <c r="N19" s="4">
        <v>0.7</v>
      </c>
    </row>
    <row r="20" spans="1:14" ht="15.75">
      <c r="A20" s="2">
        <v>404</v>
      </c>
      <c r="B20" s="3" t="s">
        <v>61</v>
      </c>
      <c r="C20" s="2">
        <v>30</v>
      </c>
      <c r="D20" s="4">
        <f>26.4*0.03</f>
        <v>0.79199999999999993</v>
      </c>
      <c r="E20" s="4">
        <f>55.6*0.03</f>
        <v>1.6679999999999999</v>
      </c>
      <c r="F20" s="4">
        <f>52.9*0.03</f>
        <v>1.587</v>
      </c>
      <c r="G20" s="4">
        <f>818*0.03</f>
        <v>24.54</v>
      </c>
      <c r="H20" s="4">
        <f>0.31*0.03</f>
        <v>9.2999999999999992E-3</v>
      </c>
      <c r="I20" s="4">
        <f>4.9*0.03</f>
        <v>0.14699999999999999</v>
      </c>
      <c r="J20" s="4">
        <f>333*0.03</f>
        <v>9.99</v>
      </c>
      <c r="K20" s="4">
        <f>858*0.03</f>
        <v>25.74</v>
      </c>
      <c r="L20" s="4">
        <f>633*0.03</f>
        <v>18.989999999999998</v>
      </c>
      <c r="M20" s="4">
        <f>104*0.03</f>
        <v>3.12</v>
      </c>
      <c r="N20" s="4">
        <f>1.58*0.03</f>
        <v>4.7399999999999998E-2</v>
      </c>
    </row>
    <row r="21" spans="1:14" ht="31.5">
      <c r="A21" s="5">
        <v>31</v>
      </c>
      <c r="B21" s="3" t="s">
        <v>62</v>
      </c>
      <c r="C21" s="2">
        <v>30</v>
      </c>
      <c r="D21" s="4">
        <f>1.3*0.3</f>
        <v>0.39</v>
      </c>
      <c r="E21" s="4">
        <f>6.1*0.3</f>
        <v>1.8299999999999998</v>
      </c>
      <c r="F21" s="4">
        <f>6.2*0.3</f>
        <v>1.8599999999999999</v>
      </c>
      <c r="G21" s="4">
        <f>84*0.3</f>
        <v>25.2</v>
      </c>
      <c r="H21" s="4">
        <f>0.02*0.3</f>
        <v>6.0000000000000001E-3</v>
      </c>
      <c r="I21" s="4">
        <f>4.7*0.3</f>
        <v>1.41</v>
      </c>
      <c r="J21" s="4">
        <v>0</v>
      </c>
      <c r="K21" s="4">
        <f>31*0.3</f>
        <v>9.2999999999999989</v>
      </c>
      <c r="L21" s="4">
        <f>35*0.3</f>
        <v>10.5</v>
      </c>
      <c r="M21" s="4">
        <f>18*0.3</f>
        <v>5.3999999999999995</v>
      </c>
      <c r="N21" s="4">
        <f>1.1*0.3</f>
        <v>0.33</v>
      </c>
    </row>
    <row r="22" spans="1:14" ht="15.75">
      <c r="A22" s="2">
        <v>573</v>
      </c>
      <c r="B22" s="3" t="s">
        <v>20</v>
      </c>
      <c r="C22" s="2">
        <v>40</v>
      </c>
      <c r="D22" s="4">
        <f>7.6*0.4</f>
        <v>3.04</v>
      </c>
      <c r="E22" s="4">
        <f>0.8*0.4</f>
        <v>0.32000000000000006</v>
      </c>
      <c r="F22" s="4">
        <f>49.2*0.4</f>
        <v>19.680000000000003</v>
      </c>
      <c r="G22" s="4">
        <f>234*0.4</f>
        <v>93.600000000000009</v>
      </c>
      <c r="H22" s="4">
        <f>0.11*0.4</f>
        <v>4.4000000000000004E-2</v>
      </c>
      <c r="I22" s="4">
        <v>0</v>
      </c>
      <c r="J22" s="4">
        <v>0</v>
      </c>
      <c r="K22" s="4">
        <f>20*0.4</f>
        <v>8</v>
      </c>
      <c r="L22" s="4">
        <f>65*0.4</f>
        <v>26</v>
      </c>
      <c r="M22" s="4">
        <f>14*0.4</f>
        <v>5.6000000000000005</v>
      </c>
      <c r="N22" s="4">
        <f>1.1*0.4</f>
        <v>0.44000000000000006</v>
      </c>
    </row>
    <row r="23" spans="1:14" ht="33" customHeight="1">
      <c r="A23" s="5">
        <v>486</v>
      </c>
      <c r="B23" s="3" t="s">
        <v>63</v>
      </c>
      <c r="C23" s="2">
        <v>200</v>
      </c>
      <c r="D23" s="4">
        <v>0.1</v>
      </c>
      <c r="E23" s="4">
        <v>0.1</v>
      </c>
      <c r="F23" s="4">
        <v>11.1</v>
      </c>
      <c r="G23" s="4">
        <v>46</v>
      </c>
      <c r="H23" s="4">
        <v>0.01</v>
      </c>
      <c r="I23" s="4">
        <v>0.6</v>
      </c>
      <c r="J23" s="4">
        <v>0</v>
      </c>
      <c r="K23" s="4">
        <v>3.4</v>
      </c>
      <c r="L23" s="4">
        <v>2.1</v>
      </c>
      <c r="M23" s="4">
        <v>1.7</v>
      </c>
      <c r="N23" s="4">
        <v>0.46</v>
      </c>
    </row>
    <row r="24" spans="1:14" ht="15.75">
      <c r="A24" s="2">
        <v>82</v>
      </c>
      <c r="B24" s="3" t="s">
        <v>64</v>
      </c>
      <c r="C24" s="2">
        <v>100</v>
      </c>
      <c r="D24" s="4">
        <v>0.4</v>
      </c>
      <c r="E24" s="4">
        <v>0.4</v>
      </c>
      <c r="F24" s="4">
        <v>9.8000000000000007</v>
      </c>
      <c r="G24" s="4">
        <v>44</v>
      </c>
      <c r="H24" s="4">
        <v>0.03</v>
      </c>
      <c r="I24" s="4">
        <v>7</v>
      </c>
      <c r="J24" s="4">
        <v>0</v>
      </c>
      <c r="K24" s="4">
        <v>16.100000000000001</v>
      </c>
      <c r="L24" s="4">
        <v>11</v>
      </c>
      <c r="M24" s="4">
        <v>9</v>
      </c>
      <c r="N24" s="4">
        <v>2.21</v>
      </c>
    </row>
    <row r="25" spans="1:14" ht="15.75">
      <c r="A25" s="2" t="s">
        <v>18</v>
      </c>
      <c r="B25" s="3" t="s">
        <v>39</v>
      </c>
      <c r="C25" s="2">
        <v>80</v>
      </c>
      <c r="D25" s="4">
        <v>7</v>
      </c>
      <c r="E25" s="4">
        <v>14.7</v>
      </c>
      <c r="F25" s="4">
        <v>53.5</v>
      </c>
      <c r="G25" s="4">
        <v>375</v>
      </c>
      <c r="H25" s="4"/>
      <c r="I25" s="4"/>
      <c r="J25" s="4"/>
      <c r="K25" s="4"/>
      <c r="L25" s="4"/>
      <c r="M25" s="4"/>
      <c r="N25" s="4"/>
    </row>
    <row r="26" spans="1:14" ht="15.75">
      <c r="A26" s="2"/>
      <c r="B26" s="7" t="s">
        <v>21</v>
      </c>
      <c r="C26" s="7"/>
      <c r="D26" s="8">
        <f>D17+D18+D19+D20+D21+D22+D23+D24+D25</f>
        <v>30.482000000000003</v>
      </c>
      <c r="E26" s="8">
        <f t="shared" ref="E26:N26" si="1">E17+E18+E19+E20+E21+E22+E23+E24+E25</f>
        <v>35.997999999999998</v>
      </c>
      <c r="F26" s="8">
        <f t="shared" si="1"/>
        <v>128.06700000000001</v>
      </c>
      <c r="G26" s="8">
        <f t="shared" si="1"/>
        <v>958.1400000000001</v>
      </c>
      <c r="H26" s="8">
        <f t="shared" si="1"/>
        <v>0.24330000000000002</v>
      </c>
      <c r="I26" s="8">
        <f t="shared" si="1"/>
        <v>15.157</v>
      </c>
      <c r="J26" s="8">
        <f t="shared" si="1"/>
        <v>62.99</v>
      </c>
      <c r="K26" s="8">
        <f t="shared" si="1"/>
        <v>98.34</v>
      </c>
      <c r="L26" s="8">
        <f t="shared" si="1"/>
        <v>236.99</v>
      </c>
      <c r="M26" s="8">
        <f t="shared" si="1"/>
        <v>60.62</v>
      </c>
      <c r="N26" s="8">
        <f t="shared" si="1"/>
        <v>5.8174000000000001</v>
      </c>
    </row>
    <row r="27" spans="1:14" ht="15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5.7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.75">
      <c r="A30" s="2">
        <v>113</v>
      </c>
      <c r="B30" s="3" t="s">
        <v>65</v>
      </c>
      <c r="C30" s="2">
        <v>200</v>
      </c>
      <c r="D30" s="4">
        <f>10.4/5</f>
        <v>2.08</v>
      </c>
      <c r="E30" s="4">
        <f>13.2/5</f>
        <v>2.6399999999999997</v>
      </c>
      <c r="F30" s="4">
        <f>30.8/5</f>
        <v>6.16</v>
      </c>
      <c r="G30" s="4">
        <f>283/5</f>
        <v>56.6</v>
      </c>
      <c r="H30" s="4">
        <f>0.34/5</f>
        <v>6.8000000000000005E-2</v>
      </c>
      <c r="I30" s="4">
        <f>21/5</f>
        <v>4.2</v>
      </c>
      <c r="J30" s="4">
        <f>70/5</f>
        <v>14</v>
      </c>
      <c r="K30" s="4">
        <f>89/5</f>
        <v>17.8</v>
      </c>
      <c r="L30" s="4">
        <f>234/5</f>
        <v>46.8</v>
      </c>
      <c r="M30" s="4">
        <v>17.600000000000001</v>
      </c>
      <c r="N30" s="4">
        <f>3.26/5</f>
        <v>0.65199999999999991</v>
      </c>
    </row>
    <row r="31" spans="1:14" ht="15.75">
      <c r="A31" s="2">
        <v>375</v>
      </c>
      <c r="B31" s="3" t="s">
        <v>66</v>
      </c>
      <c r="C31" s="2">
        <v>200</v>
      </c>
      <c r="D31" s="4">
        <v>12.3</v>
      </c>
      <c r="E31" s="4">
        <v>8.1999999999999993</v>
      </c>
      <c r="F31" s="4">
        <v>24.8</v>
      </c>
      <c r="G31" s="4">
        <v>223</v>
      </c>
      <c r="H31" s="4">
        <v>0.04</v>
      </c>
      <c r="I31" s="4">
        <v>0</v>
      </c>
      <c r="J31" s="4">
        <v>15</v>
      </c>
      <c r="K31" s="4">
        <v>20</v>
      </c>
      <c r="L31" s="4">
        <v>87</v>
      </c>
      <c r="M31" s="4">
        <v>28</v>
      </c>
      <c r="N31" s="4">
        <v>0.71</v>
      </c>
    </row>
    <row r="32" spans="1:14" ht="15.75">
      <c r="A32" s="2">
        <v>148</v>
      </c>
      <c r="B32" s="3" t="s">
        <v>67</v>
      </c>
      <c r="C32" s="2">
        <v>40</v>
      </c>
      <c r="D32" s="4">
        <f>0.7*0.4</f>
        <v>0.27999999999999997</v>
      </c>
      <c r="E32" s="4">
        <f>0.1*0.4</f>
        <v>4.0000000000000008E-2</v>
      </c>
      <c r="F32" s="4">
        <f>1.9*0.4</f>
        <v>0.76</v>
      </c>
      <c r="G32" s="4">
        <f>11*0.4</f>
        <v>4.4000000000000004</v>
      </c>
      <c r="H32" s="4">
        <f>0.03*0.4</f>
        <v>1.2E-2</v>
      </c>
      <c r="I32" s="4">
        <f>3.5*0.4</f>
        <v>1.4000000000000001</v>
      </c>
      <c r="J32" s="4">
        <v>0</v>
      </c>
      <c r="K32" s="4">
        <f>17.8*0.4</f>
        <v>7.120000000000001</v>
      </c>
      <c r="L32" s="4">
        <f>30.3*0.4</f>
        <v>12.120000000000001</v>
      </c>
      <c r="M32" s="4">
        <f>14.1*0.4</f>
        <v>5.6400000000000006</v>
      </c>
      <c r="N32" s="4">
        <f>0.51*0.4</f>
        <v>0.20400000000000001</v>
      </c>
    </row>
    <row r="33" spans="1:14" ht="15.75">
      <c r="A33" s="2">
        <v>573</v>
      </c>
      <c r="B33" s="3" t="s">
        <v>20</v>
      </c>
      <c r="C33" s="2">
        <v>40</v>
      </c>
      <c r="D33" s="4">
        <f>7.6*0.4</f>
        <v>3.04</v>
      </c>
      <c r="E33" s="4">
        <f>0.8*0.4</f>
        <v>0.32000000000000006</v>
      </c>
      <c r="F33" s="4">
        <f>49.2*0.4</f>
        <v>19.680000000000003</v>
      </c>
      <c r="G33" s="4">
        <f>234*0.4</f>
        <v>93.600000000000009</v>
      </c>
      <c r="H33" s="4">
        <f>0.11*0.4</f>
        <v>4.4000000000000004E-2</v>
      </c>
      <c r="I33" s="4">
        <v>0</v>
      </c>
      <c r="J33" s="4">
        <v>0</v>
      </c>
      <c r="K33" s="4">
        <f>20*0.4</f>
        <v>8</v>
      </c>
      <c r="L33" s="4">
        <f>65*0.4</f>
        <v>26</v>
      </c>
      <c r="M33" s="4">
        <f>14*0.4</f>
        <v>5.6000000000000005</v>
      </c>
      <c r="N33" s="4">
        <f>1.1*0.4</f>
        <v>0.44000000000000006</v>
      </c>
    </row>
    <row r="34" spans="1:14" ht="15.75">
      <c r="A34" s="2">
        <v>484</v>
      </c>
      <c r="B34" s="3" t="s">
        <v>68</v>
      </c>
      <c r="C34" s="2">
        <v>200</v>
      </c>
      <c r="D34" s="4">
        <v>0</v>
      </c>
      <c r="E34" s="4">
        <v>0</v>
      </c>
      <c r="F34" s="4">
        <v>15</v>
      </c>
      <c r="G34" s="4">
        <v>60</v>
      </c>
      <c r="H34" s="4">
        <v>0</v>
      </c>
      <c r="I34" s="4">
        <v>0</v>
      </c>
      <c r="J34" s="4">
        <v>0</v>
      </c>
      <c r="K34" s="4">
        <v>3.4</v>
      </c>
      <c r="L34" s="4">
        <v>5.8</v>
      </c>
      <c r="M34" s="4">
        <v>0</v>
      </c>
      <c r="N34" s="4">
        <v>0.02</v>
      </c>
    </row>
    <row r="35" spans="1:14" ht="15.75">
      <c r="A35" s="5" t="s">
        <v>18</v>
      </c>
      <c r="B35" s="3" t="s">
        <v>39</v>
      </c>
      <c r="C35" s="2">
        <v>50</v>
      </c>
      <c r="D35" s="4">
        <v>8</v>
      </c>
      <c r="E35" s="4">
        <v>9</v>
      </c>
      <c r="F35" s="4">
        <v>60</v>
      </c>
      <c r="G35" s="4">
        <v>336</v>
      </c>
      <c r="H35" s="4"/>
      <c r="I35" s="4"/>
      <c r="J35" s="4"/>
      <c r="K35" s="4"/>
      <c r="L35" s="4"/>
      <c r="M35" s="4"/>
      <c r="N35" s="4"/>
    </row>
    <row r="36" spans="1:14" ht="15.75">
      <c r="A36" s="5"/>
      <c r="B36" s="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.75">
      <c r="A37" s="2"/>
      <c r="B37" s="6" t="s">
        <v>21</v>
      </c>
      <c r="C37" s="2"/>
      <c r="D37" s="8">
        <f>D30+D31+D32+D33+D34+D35+D36</f>
        <v>25.7</v>
      </c>
      <c r="E37" s="8">
        <f t="shared" ref="E37:N37" si="2">E30+E31+E32+E33+E34+E35+E36</f>
        <v>20.2</v>
      </c>
      <c r="F37" s="8">
        <f t="shared" si="2"/>
        <v>126.4</v>
      </c>
      <c r="G37" s="8">
        <f t="shared" si="2"/>
        <v>773.6</v>
      </c>
      <c r="H37" s="8">
        <f t="shared" si="2"/>
        <v>0.16400000000000001</v>
      </c>
      <c r="I37" s="8">
        <f t="shared" si="2"/>
        <v>5.6000000000000005</v>
      </c>
      <c r="J37" s="8">
        <f t="shared" si="2"/>
        <v>29</v>
      </c>
      <c r="K37" s="8">
        <f t="shared" si="2"/>
        <v>56.32</v>
      </c>
      <c r="L37" s="8">
        <f t="shared" si="2"/>
        <v>177.72000000000003</v>
      </c>
      <c r="M37" s="8">
        <f t="shared" si="2"/>
        <v>56.84</v>
      </c>
      <c r="N37" s="8">
        <f t="shared" si="2"/>
        <v>2.0259999999999998</v>
      </c>
    </row>
    <row r="38" spans="1:14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ht="15.75">
      <c r="A39" s="27" t="s">
        <v>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.75">
      <c r="A40" s="27" t="s">
        <v>22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31.5">
      <c r="A41" s="2">
        <v>154</v>
      </c>
      <c r="B41" s="3" t="s">
        <v>40</v>
      </c>
      <c r="C41" s="2">
        <v>200</v>
      </c>
      <c r="D41" s="4">
        <f>8.5/5</f>
        <v>1.7</v>
      </c>
      <c r="E41" s="4">
        <f>20.4/5</f>
        <v>4.08</v>
      </c>
      <c r="F41" s="4">
        <f>58.2/5</f>
        <v>11.64</v>
      </c>
      <c r="G41" s="4">
        <v>93.7</v>
      </c>
      <c r="H41" s="4">
        <f>0.3/5</f>
        <v>0.06</v>
      </c>
      <c r="I41" s="4">
        <f>17.4/5</f>
        <v>3.4799999999999995</v>
      </c>
      <c r="J41" s="4">
        <v>0</v>
      </c>
      <c r="K41" s="4">
        <f>115/5</f>
        <v>23</v>
      </c>
      <c r="L41" s="4">
        <f>257/5</f>
        <v>51.4</v>
      </c>
      <c r="M41" s="4">
        <f>98/5</f>
        <v>19.600000000000001</v>
      </c>
      <c r="N41" s="4">
        <f>3.61/5</f>
        <v>0.72199999999999998</v>
      </c>
    </row>
    <row r="42" spans="1:14" ht="15.75">
      <c r="A42" s="2">
        <v>333</v>
      </c>
      <c r="B42" s="3" t="s">
        <v>69</v>
      </c>
      <c r="C42" s="2">
        <v>100</v>
      </c>
      <c r="D42" s="4">
        <v>11</v>
      </c>
      <c r="E42" s="4">
        <v>12.4</v>
      </c>
      <c r="F42" s="4">
        <v>4</v>
      </c>
      <c r="G42" s="4">
        <v>173</v>
      </c>
      <c r="H42" s="4">
        <v>0.04</v>
      </c>
      <c r="I42" s="4">
        <v>7.2</v>
      </c>
      <c r="J42" s="4">
        <v>19</v>
      </c>
      <c r="K42" s="4">
        <v>24</v>
      </c>
      <c r="L42" s="4">
        <v>123</v>
      </c>
      <c r="M42" s="4">
        <v>20</v>
      </c>
      <c r="N42" s="4">
        <v>1.71</v>
      </c>
    </row>
    <row r="43" spans="1:14" ht="15.75">
      <c r="A43" s="2">
        <v>404</v>
      </c>
      <c r="B43" s="3" t="s">
        <v>61</v>
      </c>
      <c r="C43" s="2">
        <v>30</v>
      </c>
      <c r="D43" s="4">
        <f>26.4*0.03</f>
        <v>0.79199999999999993</v>
      </c>
      <c r="E43" s="4">
        <f>55.6*0.03</f>
        <v>1.6679999999999999</v>
      </c>
      <c r="F43" s="4">
        <f>52.9*0.03</f>
        <v>1.587</v>
      </c>
      <c r="G43" s="4">
        <f>818*0.03</f>
        <v>24.54</v>
      </c>
      <c r="H43" s="4">
        <f>0.31*0.03</f>
        <v>9.2999999999999992E-3</v>
      </c>
      <c r="I43" s="4">
        <f>4.9*0.03</f>
        <v>0.14699999999999999</v>
      </c>
      <c r="J43" s="4">
        <f>333*0.03</f>
        <v>9.99</v>
      </c>
      <c r="K43" s="4">
        <f>858*0.03</f>
        <v>25.74</v>
      </c>
      <c r="L43" s="4">
        <f>633*0.03</f>
        <v>18.989999999999998</v>
      </c>
      <c r="M43" s="4">
        <f>104*0.03</f>
        <v>3.12</v>
      </c>
      <c r="N43" s="4">
        <f>1.58*0.03</f>
        <v>4.7399999999999998E-2</v>
      </c>
    </row>
    <row r="44" spans="1:14" ht="31.5">
      <c r="A44" s="2">
        <v>202</v>
      </c>
      <c r="B44" s="3" t="s">
        <v>70</v>
      </c>
      <c r="C44" s="2">
        <v>100</v>
      </c>
      <c r="D44" s="4">
        <f>59*0.096</f>
        <v>5.6639999999999997</v>
      </c>
      <c r="E44" s="4">
        <f>44.1*0.096</f>
        <v>4.2336</v>
      </c>
      <c r="F44" s="4">
        <f>261.1*0.096</f>
        <v>25.065600000000003</v>
      </c>
      <c r="G44" s="4">
        <f>1679*0.096</f>
        <v>161.184</v>
      </c>
      <c r="H44" s="4">
        <f>1.4*0.096</f>
        <v>0.13439999999999999</v>
      </c>
      <c r="I44" s="4">
        <v>0</v>
      </c>
      <c r="J44" s="4">
        <f>160*0.096</f>
        <v>15.36</v>
      </c>
      <c r="K44" s="4">
        <f>111*0.096</f>
        <v>10.656000000000001</v>
      </c>
      <c r="L44" s="4">
        <f>1403*0.096</f>
        <v>134.68800000000002</v>
      </c>
      <c r="M44" s="4">
        <f>933*0.096</f>
        <v>89.567999999999998</v>
      </c>
      <c r="N44" s="4">
        <f>31.4*0.096</f>
        <v>3.0143999999999997</v>
      </c>
    </row>
    <row r="45" spans="1:14" ht="15.75">
      <c r="A45" s="2">
        <v>573</v>
      </c>
      <c r="B45" s="3" t="s">
        <v>20</v>
      </c>
      <c r="C45" s="2">
        <v>40</v>
      </c>
      <c r="D45" s="4">
        <f>7.6*0.4</f>
        <v>3.04</v>
      </c>
      <c r="E45" s="4">
        <f>0.8*0.4</f>
        <v>0.32000000000000006</v>
      </c>
      <c r="F45" s="4">
        <f>49.2*0.4</f>
        <v>19.680000000000003</v>
      </c>
      <c r="G45" s="4">
        <f>234*0.4</f>
        <v>93.600000000000009</v>
      </c>
      <c r="H45" s="4">
        <f>0.11*0.4</f>
        <v>4.4000000000000004E-2</v>
      </c>
      <c r="I45" s="4">
        <v>0</v>
      </c>
      <c r="J45" s="4">
        <v>0</v>
      </c>
      <c r="K45" s="4">
        <f>20*0.4</f>
        <v>8</v>
      </c>
      <c r="L45" s="4">
        <f>65*0.4</f>
        <v>26</v>
      </c>
      <c r="M45" s="4">
        <f>14*0.4</f>
        <v>5.6000000000000005</v>
      </c>
      <c r="N45" s="4">
        <f>1.1*0.4</f>
        <v>0.44000000000000006</v>
      </c>
    </row>
    <row r="46" spans="1:14" ht="15.75">
      <c r="A46" s="5">
        <v>508</v>
      </c>
      <c r="B46" s="3" t="s">
        <v>23</v>
      </c>
      <c r="C46" s="2">
        <v>200</v>
      </c>
      <c r="D46" s="4">
        <v>0.5</v>
      </c>
      <c r="E46" s="4">
        <v>0</v>
      </c>
      <c r="F46" s="4">
        <v>27</v>
      </c>
      <c r="G46" s="4">
        <v>110</v>
      </c>
      <c r="H46" s="4">
        <v>0.01</v>
      </c>
      <c r="I46" s="4">
        <v>0.2</v>
      </c>
      <c r="J46" s="4">
        <v>0</v>
      </c>
      <c r="K46" s="4">
        <v>20.100000000000001</v>
      </c>
      <c r="L46" s="4">
        <v>19.2</v>
      </c>
      <c r="M46" s="4">
        <v>14.4</v>
      </c>
      <c r="N46" s="4">
        <v>0.69</v>
      </c>
    </row>
    <row r="47" spans="1:14" ht="15.75">
      <c r="A47" s="2">
        <v>82</v>
      </c>
      <c r="B47" s="3" t="s">
        <v>64</v>
      </c>
      <c r="C47" s="2">
        <v>100</v>
      </c>
      <c r="D47" s="4">
        <v>0.4</v>
      </c>
      <c r="E47" s="4">
        <v>0.4</v>
      </c>
      <c r="F47" s="4">
        <v>9.8000000000000007</v>
      </c>
      <c r="G47" s="4">
        <v>44</v>
      </c>
      <c r="H47" s="4">
        <v>0.03</v>
      </c>
      <c r="I47" s="4">
        <v>7</v>
      </c>
      <c r="J47" s="4">
        <v>0</v>
      </c>
      <c r="K47" s="4">
        <v>16.100000000000001</v>
      </c>
      <c r="L47" s="4">
        <v>11</v>
      </c>
      <c r="M47" s="4">
        <v>9</v>
      </c>
      <c r="N47" s="4">
        <v>2.21</v>
      </c>
    </row>
    <row r="48" spans="1:14" ht="15.75">
      <c r="A48" s="2"/>
      <c r="B48" s="7" t="s">
        <v>21</v>
      </c>
      <c r="C48" s="2"/>
      <c r="D48" s="8">
        <f>D41+D42+D43+D44+D45+D46+D47</f>
        <v>23.095999999999997</v>
      </c>
      <c r="E48" s="8">
        <f t="shared" ref="E48:N48" si="3">E41+E42+E43+E44+E45+E46+E47</f>
        <v>23.101599999999998</v>
      </c>
      <c r="F48" s="8">
        <f t="shared" si="3"/>
        <v>98.772600000000011</v>
      </c>
      <c r="G48" s="8">
        <f t="shared" si="3"/>
        <v>700.024</v>
      </c>
      <c r="H48" s="8">
        <f t="shared" si="3"/>
        <v>0.32769999999999999</v>
      </c>
      <c r="I48" s="8">
        <f t="shared" si="3"/>
        <v>18.027000000000001</v>
      </c>
      <c r="J48" s="8">
        <f t="shared" si="3"/>
        <v>44.35</v>
      </c>
      <c r="K48" s="8">
        <f t="shared" si="3"/>
        <v>127.596</v>
      </c>
      <c r="L48" s="8">
        <f t="shared" si="3"/>
        <v>384.27800000000002</v>
      </c>
      <c r="M48" s="8">
        <f t="shared" si="3"/>
        <v>161.28800000000001</v>
      </c>
      <c r="N48" s="8">
        <f t="shared" si="3"/>
        <v>8.8338000000000001</v>
      </c>
    </row>
    <row r="49" spans="1:14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5.75">
      <c r="A50" s="19" t="s">
        <v>30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5.75">
      <c r="A51" s="19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5.75">
      <c r="A52" s="2">
        <v>76</v>
      </c>
      <c r="B52" s="3" t="s">
        <v>49</v>
      </c>
      <c r="C52" s="2">
        <v>100</v>
      </c>
      <c r="D52" s="4">
        <v>1.3</v>
      </c>
      <c r="E52" s="4">
        <v>10.8</v>
      </c>
      <c r="F52" s="4">
        <v>6.8</v>
      </c>
      <c r="G52" s="4">
        <v>130</v>
      </c>
      <c r="H52" s="4">
        <v>0.04</v>
      </c>
      <c r="I52" s="4">
        <v>6.2</v>
      </c>
      <c r="J52" s="4">
        <v>0</v>
      </c>
      <c r="K52" s="4">
        <v>23</v>
      </c>
      <c r="L52" s="4">
        <v>42</v>
      </c>
      <c r="M52" s="4">
        <v>18</v>
      </c>
      <c r="N52" s="4">
        <v>0.79</v>
      </c>
    </row>
    <row r="53" spans="1:14" ht="15.75">
      <c r="A53" s="9">
        <v>267</v>
      </c>
      <c r="B53" s="3" t="s">
        <v>50</v>
      </c>
      <c r="C53" s="9">
        <v>20</v>
      </c>
      <c r="D53" s="10">
        <f>5.2/2</f>
        <v>2.6</v>
      </c>
      <c r="E53" s="10">
        <v>2.2999999999999998</v>
      </c>
      <c r="F53" s="10">
        <v>0.15</v>
      </c>
      <c r="G53" s="10">
        <f>63/2</f>
        <v>31.5</v>
      </c>
      <c r="H53" s="10">
        <v>1.4999999999999999E-2</v>
      </c>
      <c r="I53" s="10">
        <v>0</v>
      </c>
      <c r="J53" s="10">
        <v>50</v>
      </c>
      <c r="K53" s="10">
        <v>11</v>
      </c>
      <c r="L53" s="10">
        <f>77/2</f>
        <v>38.5</v>
      </c>
      <c r="M53" s="10">
        <v>2.5</v>
      </c>
      <c r="N53" s="10">
        <f>1.01/2</f>
        <v>0.505</v>
      </c>
    </row>
    <row r="54" spans="1:14" ht="15.75">
      <c r="A54" s="9">
        <v>307</v>
      </c>
      <c r="B54" s="9" t="s">
        <v>71</v>
      </c>
      <c r="C54" s="9">
        <v>80</v>
      </c>
      <c r="D54" s="10">
        <f>9*1.14</f>
        <v>10.26</v>
      </c>
      <c r="E54" s="10">
        <f>1.1*1.14</f>
        <v>1.254</v>
      </c>
      <c r="F54" s="10">
        <f>7*1.14</f>
        <v>7.9799999999999995</v>
      </c>
      <c r="G54" s="10">
        <f>74*1.14</f>
        <v>84.36</v>
      </c>
      <c r="H54" s="10">
        <f>0.05*1.14</f>
        <v>5.6999999999999995E-2</v>
      </c>
      <c r="I54" s="10">
        <v>0</v>
      </c>
      <c r="J54" s="10">
        <f>13*1.14</f>
        <v>14.819999999999999</v>
      </c>
      <c r="K54" s="10">
        <f>37*1.14</f>
        <v>42.18</v>
      </c>
      <c r="L54" s="10">
        <f>123*1.14</f>
        <v>140.22</v>
      </c>
      <c r="M54" s="10">
        <f>18*1.14</f>
        <v>20.52</v>
      </c>
      <c r="N54" s="10">
        <f>0.42*1.14</f>
        <v>0.47879999999999995</v>
      </c>
    </row>
    <row r="55" spans="1:14" ht="15.75">
      <c r="A55" s="9">
        <v>386</v>
      </c>
      <c r="B55" s="9" t="s">
        <v>51</v>
      </c>
      <c r="C55" s="9">
        <v>100</v>
      </c>
      <c r="D55" s="10">
        <f>24/5</f>
        <v>4.8</v>
      </c>
      <c r="E55" s="10">
        <f>36/5</f>
        <v>7.2</v>
      </c>
      <c r="F55" s="10">
        <f>196/5</f>
        <v>39.200000000000003</v>
      </c>
      <c r="G55" s="10">
        <f>1208/5</f>
        <v>241.6</v>
      </c>
      <c r="H55" s="10">
        <f>0.16/5</f>
        <v>3.2000000000000001E-2</v>
      </c>
      <c r="I55" s="10">
        <v>0</v>
      </c>
      <c r="J55" s="10">
        <f>171/5</f>
        <v>34.200000000000003</v>
      </c>
      <c r="K55" s="10">
        <f>40/5</f>
        <v>8</v>
      </c>
      <c r="L55" s="10">
        <f>419/5</f>
        <v>83.8</v>
      </c>
      <c r="M55" s="10">
        <f>130/5</f>
        <v>26</v>
      </c>
      <c r="N55" s="10">
        <f>0.84/5</f>
        <v>0.16799999999999998</v>
      </c>
    </row>
    <row r="56" spans="1:14" ht="31.5">
      <c r="A56" s="2">
        <v>410</v>
      </c>
      <c r="B56" s="3" t="s">
        <v>72</v>
      </c>
      <c r="C56" s="2">
        <v>30</v>
      </c>
      <c r="D56" s="4">
        <f>33*0.03</f>
        <v>0.99</v>
      </c>
      <c r="E56" s="4">
        <f>186.9*0.03</f>
        <v>5.6070000000000002</v>
      </c>
      <c r="F56" s="4">
        <f>53.4*0.03</f>
        <v>1.6019999999999999</v>
      </c>
      <c r="G56" s="4">
        <f>2027*0.03</f>
        <v>60.809999999999995</v>
      </c>
      <c r="H56" s="4">
        <f>0.35*0.03</f>
        <v>1.0499999999999999E-2</v>
      </c>
      <c r="I56" s="4">
        <f>7.2*0.03</f>
        <v>0.216</v>
      </c>
      <c r="J56" s="4">
        <f>1140*0.03</f>
        <v>34.199999999999996</v>
      </c>
      <c r="K56" s="4">
        <f>858*0.03</f>
        <v>25.74</v>
      </c>
      <c r="L56" s="4">
        <f>643*0.03</f>
        <v>19.29</v>
      </c>
      <c r="M56" s="4">
        <f>134*0.03</f>
        <v>4.0199999999999996</v>
      </c>
      <c r="N56" s="4">
        <f>4.54*0.03</f>
        <v>0.13619999999999999</v>
      </c>
    </row>
    <row r="57" spans="1:14" ht="15.75">
      <c r="A57" s="2">
        <v>573</v>
      </c>
      <c r="B57" s="3" t="s">
        <v>20</v>
      </c>
      <c r="C57" s="2">
        <v>40</v>
      </c>
      <c r="D57" s="4">
        <f>7.6*0.4</f>
        <v>3.04</v>
      </c>
      <c r="E57" s="4">
        <f>0.8*0.4</f>
        <v>0.32000000000000006</v>
      </c>
      <c r="F57" s="4">
        <f>49.2*0.4</f>
        <v>19.680000000000003</v>
      </c>
      <c r="G57" s="4">
        <f>234*0.4</f>
        <v>93.600000000000009</v>
      </c>
      <c r="H57" s="4">
        <f>0.11*0.4</f>
        <v>4.4000000000000004E-2</v>
      </c>
      <c r="I57" s="4">
        <v>0</v>
      </c>
      <c r="J57" s="4">
        <v>0</v>
      </c>
      <c r="K57" s="4">
        <f>20*0.4</f>
        <v>8</v>
      </c>
      <c r="L57" s="4">
        <f>65*0.4</f>
        <v>26</v>
      </c>
      <c r="M57" s="4">
        <f>14*0.4</f>
        <v>5.6000000000000005</v>
      </c>
      <c r="N57" s="4">
        <f>1.1*0.4</f>
        <v>0.44000000000000006</v>
      </c>
    </row>
    <row r="58" spans="1:14" ht="15.75">
      <c r="A58" s="5">
        <v>501</v>
      </c>
      <c r="B58" s="9" t="s">
        <v>38</v>
      </c>
      <c r="C58" s="9">
        <v>200</v>
      </c>
      <c r="D58" s="10">
        <v>1</v>
      </c>
      <c r="E58" s="10">
        <v>0.2</v>
      </c>
      <c r="F58" s="10">
        <v>20.2</v>
      </c>
      <c r="G58" s="10">
        <v>86</v>
      </c>
      <c r="H58" s="10">
        <v>0.02</v>
      </c>
      <c r="I58" s="10">
        <v>4</v>
      </c>
      <c r="J58" s="10">
        <v>0</v>
      </c>
      <c r="K58" s="10">
        <v>14</v>
      </c>
      <c r="L58" s="10">
        <v>14</v>
      </c>
      <c r="M58" s="10">
        <v>8</v>
      </c>
      <c r="N58" s="10">
        <v>2.8</v>
      </c>
    </row>
    <row r="59" spans="1:14" ht="15.75">
      <c r="A59" s="9"/>
      <c r="B59" s="11" t="s">
        <v>21</v>
      </c>
      <c r="C59" s="9"/>
      <c r="D59" s="12">
        <f>D52+D53+D54+D55+D56+D57+D58</f>
        <v>23.99</v>
      </c>
      <c r="E59" s="12">
        <f t="shared" ref="E59:N59" si="4">E52+E53+E54+E55+E56+E57+E58</f>
        <v>27.681000000000001</v>
      </c>
      <c r="F59" s="12">
        <f t="shared" si="4"/>
        <v>95.612000000000009</v>
      </c>
      <c r="G59" s="12">
        <f t="shared" si="4"/>
        <v>727.87</v>
      </c>
      <c r="H59" s="12">
        <f t="shared" si="4"/>
        <v>0.2185</v>
      </c>
      <c r="I59" s="12">
        <f t="shared" si="4"/>
        <v>10.416</v>
      </c>
      <c r="J59" s="12">
        <f t="shared" si="4"/>
        <v>133.22</v>
      </c>
      <c r="K59" s="12">
        <f t="shared" si="4"/>
        <v>131.92000000000002</v>
      </c>
      <c r="L59" s="12">
        <f t="shared" si="4"/>
        <v>363.81</v>
      </c>
      <c r="M59" s="12">
        <f t="shared" si="4"/>
        <v>84.639999999999986</v>
      </c>
      <c r="N59" s="12">
        <f t="shared" si="4"/>
        <v>5.3179999999999996</v>
      </c>
    </row>
    <row r="60" spans="1:14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</row>
    <row r="61" spans="1:14" ht="15.75">
      <c r="A61" s="19" t="s">
        <v>31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5.75">
      <c r="A62" s="19" t="s">
        <v>22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31.5">
      <c r="A63" s="9">
        <v>129</v>
      </c>
      <c r="B63" s="3" t="s">
        <v>73</v>
      </c>
      <c r="C63" s="9">
        <v>200</v>
      </c>
      <c r="D63" s="10">
        <f>11.6/5</f>
        <v>2.3199999999999998</v>
      </c>
      <c r="E63" s="10">
        <f>16.6/5</f>
        <v>3.3200000000000003</v>
      </c>
      <c r="F63" s="10">
        <f>48.8/5</f>
        <v>9.76</v>
      </c>
      <c r="G63" s="10">
        <f>391/5</f>
        <v>78.2</v>
      </c>
      <c r="H63" s="10">
        <f>0.27/5</f>
        <v>5.4000000000000006E-2</v>
      </c>
      <c r="I63" s="10">
        <f>15.2/5</f>
        <v>3.04</v>
      </c>
      <c r="J63" s="10">
        <f>8.5/5</f>
        <v>1.7</v>
      </c>
      <c r="K63" s="10">
        <f>64/5</f>
        <v>12.8</v>
      </c>
      <c r="L63" s="10">
        <f>187/5</f>
        <v>37.4</v>
      </c>
      <c r="M63" s="10">
        <f>68/5</f>
        <v>13.6</v>
      </c>
      <c r="N63" s="10">
        <f>3.26/5</f>
        <v>0.65199999999999991</v>
      </c>
    </row>
    <row r="64" spans="1:14" ht="31.5">
      <c r="A64" s="2">
        <v>339</v>
      </c>
      <c r="B64" s="3" t="s">
        <v>74</v>
      </c>
      <c r="C64" s="2">
        <v>80</v>
      </c>
      <c r="D64" s="4">
        <f>17.6*0.8</f>
        <v>14.080000000000002</v>
      </c>
      <c r="E64" s="4">
        <f>12.3*0.8</f>
        <v>9.8400000000000016</v>
      </c>
      <c r="F64" s="4">
        <f>15*0.8</f>
        <v>12</v>
      </c>
      <c r="G64" s="4">
        <f>243*0.8</f>
        <v>194.4</v>
      </c>
      <c r="H64" s="4">
        <f>0.16*0.8</f>
        <v>0.128</v>
      </c>
      <c r="I64" s="4">
        <v>0</v>
      </c>
      <c r="J64" s="4">
        <f>4*0.8</f>
        <v>3.2</v>
      </c>
      <c r="K64" s="4">
        <f>53*0.8</f>
        <v>42.400000000000006</v>
      </c>
      <c r="L64" s="4">
        <f>173*0.8</f>
        <v>138.4</v>
      </c>
      <c r="M64" s="4">
        <f>26*0.8</f>
        <v>20.8</v>
      </c>
      <c r="N64" s="4">
        <f>2.8*0.8</f>
        <v>2.2399999999999998</v>
      </c>
    </row>
    <row r="65" spans="1:14" ht="15.75">
      <c r="A65" s="2">
        <v>256</v>
      </c>
      <c r="B65" s="3" t="s">
        <v>19</v>
      </c>
      <c r="C65" s="2">
        <v>100</v>
      </c>
      <c r="D65" s="4">
        <v>3.7</v>
      </c>
      <c r="E65" s="4">
        <v>3.3</v>
      </c>
      <c r="F65" s="4">
        <v>19.7</v>
      </c>
      <c r="G65" s="4">
        <v>123</v>
      </c>
      <c r="H65" s="4">
        <v>0.04</v>
      </c>
      <c r="I65" s="4">
        <v>0</v>
      </c>
      <c r="J65" s="4">
        <v>21</v>
      </c>
      <c r="K65" s="4">
        <v>8</v>
      </c>
      <c r="L65" s="4">
        <v>30</v>
      </c>
      <c r="M65" s="4">
        <v>5</v>
      </c>
      <c r="N65" s="4">
        <v>0.7</v>
      </c>
    </row>
    <row r="66" spans="1:14" ht="15.75">
      <c r="A66" s="2">
        <v>573</v>
      </c>
      <c r="B66" s="3" t="s">
        <v>20</v>
      </c>
      <c r="C66" s="2">
        <v>40</v>
      </c>
      <c r="D66" s="4">
        <f>7.6*0.4</f>
        <v>3.04</v>
      </c>
      <c r="E66" s="4">
        <f>0.8*0.4</f>
        <v>0.32000000000000006</v>
      </c>
      <c r="F66" s="4">
        <f>49.2*0.4</f>
        <v>19.680000000000003</v>
      </c>
      <c r="G66" s="4">
        <f>234*0.4</f>
        <v>93.600000000000009</v>
      </c>
      <c r="H66" s="4">
        <f>0.11*0.4</f>
        <v>4.4000000000000004E-2</v>
      </c>
      <c r="I66" s="4">
        <v>0</v>
      </c>
      <c r="J66" s="4">
        <v>0</v>
      </c>
      <c r="K66" s="4">
        <f>20*0.4</f>
        <v>8</v>
      </c>
      <c r="L66" s="4">
        <f>65*0.4</f>
        <v>26</v>
      </c>
      <c r="M66" s="4">
        <f>14*0.4</f>
        <v>5.6000000000000005</v>
      </c>
      <c r="N66" s="4">
        <f>1.1*0.4</f>
        <v>0.44000000000000006</v>
      </c>
    </row>
    <row r="67" spans="1:14" ht="15.75">
      <c r="A67" s="5">
        <v>497</v>
      </c>
      <c r="B67" s="3" t="s">
        <v>37</v>
      </c>
      <c r="C67" s="2">
        <v>200</v>
      </c>
      <c r="D67" s="4">
        <v>0.1</v>
      </c>
      <c r="E67" s="4">
        <v>0.04</v>
      </c>
      <c r="F67" s="4">
        <v>9.9</v>
      </c>
      <c r="G67" s="4">
        <v>41</v>
      </c>
      <c r="H67" s="4">
        <v>0</v>
      </c>
      <c r="I67" s="4">
        <v>1.1000000000000001</v>
      </c>
      <c r="J67" s="4">
        <v>0</v>
      </c>
      <c r="K67" s="4">
        <v>3</v>
      </c>
      <c r="L67" s="4">
        <v>2</v>
      </c>
      <c r="M67" s="4">
        <v>2.9</v>
      </c>
      <c r="N67" s="4">
        <v>0.15</v>
      </c>
    </row>
    <row r="68" spans="1:14" ht="15.75">
      <c r="A68" s="5" t="s">
        <v>18</v>
      </c>
      <c r="B68" s="3" t="s">
        <v>75</v>
      </c>
      <c r="C68" s="2">
        <v>50</v>
      </c>
      <c r="D68" s="4">
        <v>4.7699999999999996</v>
      </c>
      <c r="E68" s="4">
        <v>8.86</v>
      </c>
      <c r="F68" s="4">
        <v>21.33</v>
      </c>
      <c r="G68" s="4">
        <v>384.5</v>
      </c>
      <c r="H68" s="4"/>
      <c r="I68" s="4"/>
      <c r="J68" s="4"/>
      <c r="K68" s="4"/>
      <c r="L68" s="4"/>
      <c r="M68" s="4"/>
      <c r="N68" s="4"/>
    </row>
    <row r="69" spans="1:14" ht="15.75">
      <c r="A69" s="5"/>
      <c r="B69" s="3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9"/>
      <c r="B70" s="6" t="s">
        <v>21</v>
      </c>
      <c r="C70" s="9"/>
      <c r="D70" s="12">
        <f>D63+D64+D65+D66+D67+D68+D69</f>
        <v>28.01</v>
      </c>
      <c r="E70" s="12">
        <f t="shared" ref="E70:N70" si="5">E63+E64+E65+E66+E67+E68+E69</f>
        <v>25.68</v>
      </c>
      <c r="F70" s="12">
        <f t="shared" si="5"/>
        <v>92.37</v>
      </c>
      <c r="G70" s="12">
        <f t="shared" si="5"/>
        <v>914.7</v>
      </c>
      <c r="H70" s="12">
        <f t="shared" si="5"/>
        <v>0.26600000000000001</v>
      </c>
      <c r="I70" s="12">
        <f t="shared" si="5"/>
        <v>4.1400000000000006</v>
      </c>
      <c r="J70" s="12">
        <f t="shared" si="5"/>
        <v>25.9</v>
      </c>
      <c r="K70" s="12">
        <f t="shared" si="5"/>
        <v>74.2</v>
      </c>
      <c r="L70" s="12">
        <f t="shared" si="5"/>
        <v>233.8</v>
      </c>
      <c r="M70" s="12">
        <f t="shared" si="5"/>
        <v>47.9</v>
      </c>
      <c r="N70" s="12">
        <f t="shared" si="5"/>
        <v>4.1820000000000004</v>
      </c>
    </row>
    <row r="71" spans="1:14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4"/>
    </row>
    <row r="72" spans="1:14" ht="15.75">
      <c r="A72" s="19" t="s">
        <v>32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5.75">
      <c r="A73" s="19" t="s">
        <v>22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31.5">
      <c r="A74" s="9">
        <v>128</v>
      </c>
      <c r="B74" s="3" t="s">
        <v>76</v>
      </c>
      <c r="C74" s="9">
        <v>200</v>
      </c>
      <c r="D74" s="10">
        <v>1.46</v>
      </c>
      <c r="E74" s="10">
        <v>4</v>
      </c>
      <c r="F74" s="10">
        <v>8.52</v>
      </c>
      <c r="G74" s="10">
        <v>76</v>
      </c>
      <c r="H74" s="10">
        <f>0.17/5</f>
        <v>3.4000000000000002E-2</v>
      </c>
      <c r="I74" s="10">
        <v>8.24</v>
      </c>
      <c r="J74" s="10">
        <v>0</v>
      </c>
      <c r="K74" s="10">
        <v>27.6</v>
      </c>
      <c r="L74" s="10">
        <v>42.4</v>
      </c>
      <c r="M74" s="10">
        <v>21</v>
      </c>
      <c r="N74" s="10">
        <v>0.96</v>
      </c>
    </row>
    <row r="75" spans="1:14" ht="15.75">
      <c r="A75" s="2">
        <v>404</v>
      </c>
      <c r="B75" s="3" t="s">
        <v>60</v>
      </c>
      <c r="C75" s="2">
        <v>80</v>
      </c>
      <c r="D75" s="4">
        <v>16.5</v>
      </c>
      <c r="E75" s="4">
        <v>11.4</v>
      </c>
      <c r="F75" s="4">
        <v>0.4</v>
      </c>
      <c r="G75" s="4">
        <v>170</v>
      </c>
      <c r="H75" s="4">
        <v>0.04</v>
      </c>
      <c r="I75" s="4">
        <v>3.3</v>
      </c>
      <c r="J75" s="4">
        <v>0.02</v>
      </c>
      <c r="K75" s="4">
        <v>25</v>
      </c>
      <c r="L75" s="4">
        <v>111</v>
      </c>
      <c r="M75" s="4">
        <v>16</v>
      </c>
      <c r="N75" s="4">
        <v>1.1000000000000001</v>
      </c>
    </row>
    <row r="76" spans="1:14" ht="31.5">
      <c r="A76" s="9">
        <v>242</v>
      </c>
      <c r="B76" s="3" t="s">
        <v>77</v>
      </c>
      <c r="C76" s="9">
        <v>100</v>
      </c>
      <c r="D76" s="10">
        <v>3.06</v>
      </c>
      <c r="E76" s="10">
        <v>4.49</v>
      </c>
      <c r="F76" s="10">
        <v>20.98</v>
      </c>
      <c r="G76" s="10">
        <v>139.5</v>
      </c>
      <c r="H76" s="10">
        <v>2.8000000000000001E-2</v>
      </c>
      <c r="I76" s="10">
        <v>0</v>
      </c>
      <c r="J76" s="10">
        <v>2.9000000000000001E-2</v>
      </c>
      <c r="K76" s="10">
        <v>13</v>
      </c>
      <c r="L76" s="10">
        <v>106.3</v>
      </c>
      <c r="M76" s="10">
        <v>13</v>
      </c>
      <c r="N76" s="10">
        <v>0.6</v>
      </c>
    </row>
    <row r="77" spans="1:14" ht="15.75">
      <c r="A77" s="9">
        <v>419</v>
      </c>
      <c r="B77" s="3" t="s">
        <v>42</v>
      </c>
      <c r="C77" s="9">
        <v>30</v>
      </c>
      <c r="D77" s="10">
        <f>9.5*0.03</f>
        <v>0.28499999999999998</v>
      </c>
      <c r="E77" s="10">
        <f>32.8*0.03</f>
        <v>0.98399999999999987</v>
      </c>
      <c r="F77" s="10">
        <f>46*0.03</f>
        <v>1.38</v>
      </c>
      <c r="G77" s="10">
        <f>519*0.03</f>
        <v>15.57</v>
      </c>
      <c r="H77" s="10">
        <f>0.12*0.03</f>
        <v>3.5999999999999999E-3</v>
      </c>
      <c r="I77" s="10">
        <f>11*0.03</f>
        <v>0.32999999999999996</v>
      </c>
      <c r="J77" s="10">
        <f>200*0.03</f>
        <v>6</v>
      </c>
      <c r="K77" s="10">
        <f>70*0.03</f>
        <v>2.1</v>
      </c>
      <c r="L77" s="10">
        <f>135*0.03</f>
        <v>4.05</v>
      </c>
      <c r="M77" s="10">
        <f>57*0.03</f>
        <v>1.71</v>
      </c>
      <c r="N77" s="10">
        <f>3.06*0.03</f>
        <v>9.1799999999999993E-2</v>
      </c>
    </row>
    <row r="78" spans="1:14" ht="15.75">
      <c r="A78" s="2">
        <v>573</v>
      </c>
      <c r="B78" s="3" t="s">
        <v>20</v>
      </c>
      <c r="C78" s="2">
        <v>40</v>
      </c>
      <c r="D78" s="4">
        <f>7.6*0.4</f>
        <v>3.04</v>
      </c>
      <c r="E78" s="4">
        <f>0.8*0.4</f>
        <v>0.32000000000000006</v>
      </c>
      <c r="F78" s="4">
        <f>49.2*0.4</f>
        <v>19.680000000000003</v>
      </c>
      <c r="G78" s="4">
        <f>234*0.4</f>
        <v>93.600000000000009</v>
      </c>
      <c r="H78" s="4">
        <f>0.11*0.4</f>
        <v>4.4000000000000004E-2</v>
      </c>
      <c r="I78" s="4">
        <v>0</v>
      </c>
      <c r="J78" s="4">
        <v>0</v>
      </c>
      <c r="K78" s="4">
        <f>20*0.4</f>
        <v>8</v>
      </c>
      <c r="L78" s="4">
        <f>65*0.4</f>
        <v>26</v>
      </c>
      <c r="M78" s="4">
        <f>14*0.4</f>
        <v>5.6000000000000005</v>
      </c>
      <c r="N78" s="4">
        <f>1.1*0.4</f>
        <v>0.44000000000000006</v>
      </c>
    </row>
    <row r="79" spans="1:14" ht="15.75">
      <c r="A79" s="5">
        <v>494</v>
      </c>
      <c r="B79" s="3" t="s">
        <v>29</v>
      </c>
      <c r="C79" s="9">
        <v>200</v>
      </c>
      <c r="D79" s="10">
        <v>0.3</v>
      </c>
      <c r="E79" s="10">
        <v>0.01</v>
      </c>
      <c r="F79" s="10">
        <v>17.5</v>
      </c>
      <c r="G79" s="10">
        <v>72</v>
      </c>
      <c r="H79" s="10">
        <v>0</v>
      </c>
      <c r="I79" s="10">
        <v>0.1</v>
      </c>
      <c r="J79" s="10">
        <v>0</v>
      </c>
      <c r="K79" s="10">
        <v>16.399999999999999</v>
      </c>
      <c r="L79" s="10">
        <v>10.7</v>
      </c>
      <c r="M79" s="10">
        <v>4.3</v>
      </c>
      <c r="N79" s="10">
        <v>0.9</v>
      </c>
    </row>
    <row r="80" spans="1:14" ht="15.75">
      <c r="A80" s="5">
        <v>501</v>
      </c>
      <c r="B80" s="9" t="s">
        <v>38</v>
      </c>
      <c r="C80" s="9">
        <v>200</v>
      </c>
      <c r="D80" s="10">
        <v>1</v>
      </c>
      <c r="E80" s="10">
        <v>0.2</v>
      </c>
      <c r="F80" s="10">
        <v>20.2</v>
      </c>
      <c r="G80" s="10">
        <v>86</v>
      </c>
      <c r="H80" s="10">
        <v>0.02</v>
      </c>
      <c r="I80" s="10">
        <v>4</v>
      </c>
      <c r="J80" s="10">
        <v>0</v>
      </c>
      <c r="K80" s="10">
        <v>14</v>
      </c>
      <c r="L80" s="10">
        <v>14</v>
      </c>
      <c r="M80" s="10">
        <v>8</v>
      </c>
      <c r="N80" s="10">
        <v>2.8</v>
      </c>
    </row>
    <row r="81" spans="1:14" ht="15.75">
      <c r="A81" s="5" t="s">
        <v>18</v>
      </c>
      <c r="B81" s="9" t="s">
        <v>92</v>
      </c>
      <c r="C81" s="9">
        <v>50</v>
      </c>
      <c r="D81" s="10">
        <v>2.38</v>
      </c>
      <c r="E81" s="10">
        <v>4.43</v>
      </c>
      <c r="F81" s="10">
        <v>10.66</v>
      </c>
      <c r="G81" s="10">
        <v>192.2</v>
      </c>
      <c r="H81" s="10"/>
      <c r="I81" s="10"/>
      <c r="J81" s="10"/>
      <c r="K81" s="10"/>
      <c r="L81" s="10"/>
      <c r="M81" s="10"/>
      <c r="N81" s="10"/>
    </row>
    <row r="82" spans="1:14" ht="15.75">
      <c r="A82" s="9"/>
      <c r="B82" s="6" t="s">
        <v>21</v>
      </c>
      <c r="C82" s="9"/>
      <c r="D82" s="12">
        <f>D74+D75+D76+D77+D78+D79+D80+D81</f>
        <v>28.024999999999999</v>
      </c>
      <c r="E82" s="12">
        <f t="shared" ref="E82:N82" si="6">E74+E75+E76+E77+E78+E79+E80+E81</f>
        <v>25.834</v>
      </c>
      <c r="F82" s="12">
        <f t="shared" si="6"/>
        <v>99.320000000000007</v>
      </c>
      <c r="G82" s="12">
        <f t="shared" si="6"/>
        <v>844.87000000000012</v>
      </c>
      <c r="H82" s="12">
        <f t="shared" si="6"/>
        <v>0.1696</v>
      </c>
      <c r="I82" s="12">
        <f t="shared" si="6"/>
        <v>15.969999999999999</v>
      </c>
      <c r="J82" s="12">
        <f t="shared" si="6"/>
        <v>6.0490000000000004</v>
      </c>
      <c r="K82" s="12">
        <f t="shared" si="6"/>
        <v>106.1</v>
      </c>
      <c r="L82" s="12">
        <f t="shared" si="6"/>
        <v>314.45</v>
      </c>
      <c r="M82" s="12">
        <f t="shared" si="6"/>
        <v>69.61</v>
      </c>
      <c r="N82" s="12">
        <f t="shared" si="6"/>
        <v>6.8917999999999999</v>
      </c>
    </row>
    <row r="83" spans="1:14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</row>
    <row r="84" spans="1:14" ht="15.75">
      <c r="A84" s="19" t="s">
        <v>33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/>
    </row>
    <row r="85" spans="1:14" ht="15.75">
      <c r="A85" s="19" t="s">
        <v>22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1:14" ht="15.75">
      <c r="A86" s="9">
        <v>110</v>
      </c>
      <c r="B86" s="3" t="s">
        <v>43</v>
      </c>
      <c r="C86" s="9">
        <v>200</v>
      </c>
      <c r="D86" s="10">
        <f>32/5</f>
        <v>6.4</v>
      </c>
      <c r="E86" s="10">
        <f>41.7/5</f>
        <v>8.34</v>
      </c>
      <c r="F86" s="10">
        <f>6.6/5</f>
        <v>1.3199999999999998</v>
      </c>
      <c r="G86" s="10">
        <f>530/5</f>
        <v>106</v>
      </c>
      <c r="H86" s="10">
        <f>0.17/5</f>
        <v>3.4000000000000002E-2</v>
      </c>
      <c r="I86" s="10">
        <f>4.4/5</f>
        <v>0.88000000000000012</v>
      </c>
      <c r="J86" s="10">
        <f>80/5</f>
        <v>16</v>
      </c>
      <c r="K86" s="10">
        <f>100/5</f>
        <v>20</v>
      </c>
      <c r="L86" s="10">
        <f>355/5</f>
        <v>71</v>
      </c>
      <c r="M86" s="10">
        <f>64/5</f>
        <v>12.8</v>
      </c>
      <c r="N86" s="10">
        <f>5.6/5</f>
        <v>1.1199999999999999</v>
      </c>
    </row>
    <row r="87" spans="1:14" ht="15.75">
      <c r="A87" s="9">
        <v>327</v>
      </c>
      <c r="B87" s="3" t="s">
        <v>35</v>
      </c>
      <c r="C87" s="9">
        <v>100</v>
      </c>
      <c r="D87" s="10">
        <v>20</v>
      </c>
      <c r="E87" s="10">
        <v>19.5</v>
      </c>
      <c r="F87" s="10">
        <v>3.3</v>
      </c>
      <c r="G87" s="10">
        <v>258</v>
      </c>
      <c r="H87" s="10">
        <v>0.03</v>
      </c>
      <c r="I87" s="10">
        <v>0</v>
      </c>
      <c r="J87" s="10">
        <v>26</v>
      </c>
      <c r="K87" s="10">
        <v>15</v>
      </c>
      <c r="L87" s="10">
        <v>162</v>
      </c>
      <c r="M87" s="10">
        <v>22</v>
      </c>
      <c r="N87" s="10">
        <v>2.76</v>
      </c>
    </row>
    <row r="88" spans="1:14" ht="15.75">
      <c r="A88" s="9">
        <v>386</v>
      </c>
      <c r="B88" s="9" t="s">
        <v>51</v>
      </c>
      <c r="C88" s="9">
        <v>100</v>
      </c>
      <c r="D88" s="10">
        <f>24/5</f>
        <v>4.8</v>
      </c>
      <c r="E88" s="10">
        <f>36/5</f>
        <v>7.2</v>
      </c>
      <c r="F88" s="10">
        <f>196/5</f>
        <v>39.200000000000003</v>
      </c>
      <c r="G88" s="10">
        <f>1208/5</f>
        <v>241.6</v>
      </c>
      <c r="H88" s="10">
        <f>0.16/5</f>
        <v>3.2000000000000001E-2</v>
      </c>
      <c r="I88" s="10">
        <v>0</v>
      </c>
      <c r="J88" s="10">
        <f>171/5</f>
        <v>34.200000000000003</v>
      </c>
      <c r="K88" s="10">
        <f>40/5</f>
        <v>8</v>
      </c>
      <c r="L88" s="10">
        <f>419/5</f>
        <v>83.8</v>
      </c>
      <c r="M88" s="10">
        <f>130/5</f>
        <v>26</v>
      </c>
      <c r="N88" s="10">
        <f>0.84/5</f>
        <v>0.16799999999999998</v>
      </c>
    </row>
    <row r="89" spans="1:14" ht="15.75">
      <c r="A89" s="2">
        <v>573</v>
      </c>
      <c r="B89" s="3" t="s">
        <v>20</v>
      </c>
      <c r="C89" s="2">
        <v>40</v>
      </c>
      <c r="D89" s="4">
        <f>7.6*0.4</f>
        <v>3.04</v>
      </c>
      <c r="E89" s="4">
        <f>0.8*0.4</f>
        <v>0.32000000000000006</v>
      </c>
      <c r="F89" s="4">
        <f>49.2*0.4</f>
        <v>19.680000000000003</v>
      </c>
      <c r="G89" s="4">
        <f>234*0.4</f>
        <v>93.600000000000009</v>
      </c>
      <c r="H89" s="4">
        <f>0.11*0.4</f>
        <v>4.4000000000000004E-2</v>
      </c>
      <c r="I89" s="4">
        <v>0</v>
      </c>
      <c r="J89" s="4">
        <v>0</v>
      </c>
      <c r="K89" s="4">
        <f>20*0.4</f>
        <v>8</v>
      </c>
      <c r="L89" s="4">
        <f>65*0.4</f>
        <v>26</v>
      </c>
      <c r="M89" s="4">
        <f>14*0.4</f>
        <v>5.6000000000000005</v>
      </c>
      <c r="N89" s="4">
        <f>1.1*0.4</f>
        <v>0.44000000000000006</v>
      </c>
    </row>
    <row r="90" spans="1:14" ht="15.75">
      <c r="A90" s="2">
        <v>486</v>
      </c>
      <c r="B90" s="3" t="s">
        <v>44</v>
      </c>
      <c r="C90" s="2">
        <v>200</v>
      </c>
      <c r="D90" s="4">
        <v>0.1</v>
      </c>
      <c r="E90" s="4">
        <v>0.1</v>
      </c>
      <c r="F90" s="4">
        <v>11.1</v>
      </c>
      <c r="G90" s="4">
        <v>46</v>
      </c>
      <c r="H90" s="4">
        <v>0.01</v>
      </c>
      <c r="I90" s="4">
        <v>0.6</v>
      </c>
      <c r="J90" s="4">
        <v>0</v>
      </c>
      <c r="K90" s="4">
        <v>3.4</v>
      </c>
      <c r="L90" s="4">
        <v>2.1</v>
      </c>
      <c r="M90" s="4">
        <v>1.7</v>
      </c>
      <c r="N90" s="4">
        <v>0.46</v>
      </c>
    </row>
    <row r="91" spans="1:14" ht="15.75">
      <c r="A91" s="2">
        <v>82</v>
      </c>
      <c r="B91" s="3" t="s">
        <v>64</v>
      </c>
      <c r="C91" s="2">
        <v>100</v>
      </c>
      <c r="D91" s="4">
        <v>0.4</v>
      </c>
      <c r="E91" s="4">
        <v>0.4</v>
      </c>
      <c r="F91" s="4">
        <v>9.8000000000000007</v>
      </c>
      <c r="G91" s="4">
        <v>44</v>
      </c>
      <c r="H91" s="4">
        <v>0.03</v>
      </c>
      <c r="I91" s="4">
        <v>7</v>
      </c>
      <c r="J91" s="4">
        <v>0</v>
      </c>
      <c r="K91" s="4">
        <v>16.100000000000001</v>
      </c>
      <c r="L91" s="4">
        <v>11</v>
      </c>
      <c r="M91" s="4">
        <v>9</v>
      </c>
      <c r="N91" s="4">
        <v>2.21</v>
      </c>
    </row>
    <row r="92" spans="1:14" ht="15.75">
      <c r="A92" s="9"/>
      <c r="B92" s="6" t="s">
        <v>21</v>
      </c>
      <c r="C92" s="9"/>
      <c r="D92" s="12">
        <f>D86+D87+D88+D89+D90+D91</f>
        <v>34.74</v>
      </c>
      <c r="E92" s="12">
        <f t="shared" ref="E92:N92" si="7">E86+E87+E88+E89+E90+E91</f>
        <v>35.86</v>
      </c>
      <c r="F92" s="12">
        <f t="shared" si="7"/>
        <v>84.399999999999991</v>
      </c>
      <c r="G92" s="12">
        <f t="shared" si="7"/>
        <v>789.2</v>
      </c>
      <c r="H92" s="12">
        <f t="shared" si="7"/>
        <v>0.18000000000000002</v>
      </c>
      <c r="I92" s="12">
        <f t="shared" si="7"/>
        <v>8.48</v>
      </c>
      <c r="J92" s="12">
        <f t="shared" si="7"/>
        <v>76.2</v>
      </c>
      <c r="K92" s="12">
        <f t="shared" si="7"/>
        <v>70.5</v>
      </c>
      <c r="L92" s="12">
        <f t="shared" si="7"/>
        <v>355.90000000000003</v>
      </c>
      <c r="M92" s="12">
        <f t="shared" si="7"/>
        <v>77.099999999999994</v>
      </c>
      <c r="N92" s="12">
        <f t="shared" si="7"/>
        <v>7.1580000000000004</v>
      </c>
    </row>
    <row r="93" spans="1:14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4"/>
    </row>
    <row r="94" spans="1:14" ht="15.75">
      <c r="A94" s="19" t="s">
        <v>34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5.75">
      <c r="A95" s="19" t="s">
        <v>22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31.5">
      <c r="A96" s="9">
        <v>104</v>
      </c>
      <c r="B96" s="3" t="s">
        <v>78</v>
      </c>
      <c r="C96" s="13">
        <v>200</v>
      </c>
      <c r="D96" s="10">
        <f>6/5</f>
        <v>1.2</v>
      </c>
      <c r="E96" s="10">
        <f>18/5</f>
        <v>3.6</v>
      </c>
      <c r="F96" s="10">
        <f>15.2/5</f>
        <v>3.04</v>
      </c>
      <c r="G96" s="10">
        <f>247/5</f>
        <v>49.4</v>
      </c>
      <c r="H96" s="10">
        <f>0.17/5</f>
        <v>3.4000000000000002E-2</v>
      </c>
      <c r="I96" s="10">
        <f>34/5</f>
        <v>6.8</v>
      </c>
      <c r="J96" s="10">
        <v>0</v>
      </c>
      <c r="K96" s="10">
        <f>198/5</f>
        <v>39.6</v>
      </c>
      <c r="L96" s="10">
        <f>143/5</f>
        <v>28.6</v>
      </c>
      <c r="M96" s="10">
        <f>64/5</f>
        <v>12.8</v>
      </c>
      <c r="N96" s="10">
        <f>2.55/5</f>
        <v>0.51</v>
      </c>
    </row>
    <row r="97" spans="1:14" ht="31.5">
      <c r="A97" s="9">
        <v>350</v>
      </c>
      <c r="B97" s="3" t="s">
        <v>79</v>
      </c>
      <c r="C97" s="13">
        <v>70</v>
      </c>
      <c r="D97" s="10">
        <f>8.4*1.14</f>
        <v>9.5759999999999987</v>
      </c>
      <c r="E97" s="10">
        <f>6.5*1.14</f>
        <v>7.4099999999999993</v>
      </c>
      <c r="F97" s="10">
        <f>9.7*1.14</f>
        <v>11.057999999999998</v>
      </c>
      <c r="G97" s="10">
        <f>131*1.14</f>
        <v>149.33999999999997</v>
      </c>
      <c r="H97" s="10">
        <f>0.04*1.14</f>
        <v>4.5599999999999995E-2</v>
      </c>
      <c r="I97" s="10">
        <v>0</v>
      </c>
      <c r="J97" s="10">
        <f>16*1.14</f>
        <v>18.239999999999998</v>
      </c>
      <c r="K97" s="10">
        <f>34*1.14</f>
        <v>38.76</v>
      </c>
      <c r="L97" s="10">
        <f>99*1.14</f>
        <v>112.85999999999999</v>
      </c>
      <c r="M97" s="10">
        <f>15*1.14</f>
        <v>17.099999999999998</v>
      </c>
      <c r="N97" s="10">
        <f>0.83*1.14</f>
        <v>0.94619999999999982</v>
      </c>
    </row>
    <row r="98" spans="1:14" ht="15.75">
      <c r="A98" s="2">
        <v>389</v>
      </c>
      <c r="B98" s="3" t="s">
        <v>80</v>
      </c>
      <c r="C98" s="14">
        <v>100</v>
      </c>
      <c r="D98" s="4">
        <f>22*0.49</f>
        <v>10.78</v>
      </c>
      <c r="E98" s="4">
        <f>5*0.49</f>
        <v>2.4500000000000002</v>
      </c>
      <c r="F98" s="4">
        <f>39.7*0.49</f>
        <v>19.452999999999999</v>
      </c>
      <c r="G98" s="4">
        <f>292*0.49</f>
        <v>143.07999999999998</v>
      </c>
      <c r="H98" s="4">
        <f>0.47*0.49</f>
        <v>0.23029999999999998</v>
      </c>
      <c r="I98" s="4">
        <v>0</v>
      </c>
      <c r="J98" s="4">
        <f>20*0.49</f>
        <v>9.8000000000000007</v>
      </c>
      <c r="K98" s="4">
        <f>91*0.49</f>
        <v>44.589999999999996</v>
      </c>
      <c r="L98" s="4">
        <f>218*0.49</f>
        <v>106.82</v>
      </c>
      <c r="M98" s="4">
        <f>87*0.49</f>
        <v>42.63</v>
      </c>
      <c r="N98" s="4">
        <f>6.89*0.49</f>
        <v>3.3760999999999997</v>
      </c>
    </row>
    <row r="99" spans="1:14" ht="15.75">
      <c r="A99" s="2">
        <v>148</v>
      </c>
      <c r="B99" s="3" t="s">
        <v>67</v>
      </c>
      <c r="C99" s="2">
        <v>40</v>
      </c>
      <c r="D99" s="4">
        <f>0.7*0.4</f>
        <v>0.27999999999999997</v>
      </c>
      <c r="E99" s="4">
        <f>0.1*0.4</f>
        <v>4.0000000000000008E-2</v>
      </c>
      <c r="F99" s="4">
        <f>1.9*0.4</f>
        <v>0.76</v>
      </c>
      <c r="G99" s="4">
        <f>11*0.4</f>
        <v>4.4000000000000004</v>
      </c>
      <c r="H99" s="4">
        <f>0.03*0.4</f>
        <v>1.2E-2</v>
      </c>
      <c r="I99" s="4">
        <f>3.5*0.4</f>
        <v>1.4000000000000001</v>
      </c>
      <c r="J99" s="4">
        <v>0</v>
      </c>
      <c r="K99" s="4">
        <f>17.8*0.4</f>
        <v>7.120000000000001</v>
      </c>
      <c r="L99" s="4">
        <f>30.3*0.4</f>
        <v>12.120000000000001</v>
      </c>
      <c r="M99" s="4">
        <f>14.1*0.4</f>
        <v>5.6400000000000006</v>
      </c>
      <c r="N99" s="4">
        <f>0.51*0.4</f>
        <v>0.20400000000000001</v>
      </c>
    </row>
    <row r="100" spans="1:14" ht="15.75">
      <c r="A100" s="2">
        <v>573</v>
      </c>
      <c r="B100" s="3" t="s">
        <v>20</v>
      </c>
      <c r="C100" s="2">
        <v>40</v>
      </c>
      <c r="D100" s="4">
        <f>7.6*0.4</f>
        <v>3.04</v>
      </c>
      <c r="E100" s="4">
        <f>0.8*0.4</f>
        <v>0.32000000000000006</v>
      </c>
      <c r="F100" s="4">
        <f>49.2*0.4</f>
        <v>19.680000000000003</v>
      </c>
      <c r="G100" s="4">
        <f>234*0.4</f>
        <v>93.600000000000009</v>
      </c>
      <c r="H100" s="4">
        <f>0.11*0.4</f>
        <v>4.4000000000000004E-2</v>
      </c>
      <c r="I100" s="4">
        <v>0</v>
      </c>
      <c r="J100" s="4">
        <v>0</v>
      </c>
      <c r="K100" s="4">
        <f>20*0.4</f>
        <v>8</v>
      </c>
      <c r="L100" s="4">
        <f>65*0.4</f>
        <v>26</v>
      </c>
      <c r="M100" s="4">
        <f>14*0.4</f>
        <v>5.6000000000000005</v>
      </c>
      <c r="N100" s="4">
        <f>1.1*0.4</f>
        <v>0.44000000000000006</v>
      </c>
    </row>
    <row r="101" spans="1:14" ht="15.75">
      <c r="A101" s="5">
        <v>501</v>
      </c>
      <c r="B101" s="9" t="s">
        <v>38</v>
      </c>
      <c r="C101" s="9">
        <v>200</v>
      </c>
      <c r="D101" s="10">
        <v>1</v>
      </c>
      <c r="E101" s="10">
        <v>0.2</v>
      </c>
      <c r="F101" s="10">
        <v>20.2</v>
      </c>
      <c r="G101" s="10">
        <v>86</v>
      </c>
      <c r="H101" s="10">
        <v>0.02</v>
      </c>
      <c r="I101" s="10">
        <v>4</v>
      </c>
      <c r="J101" s="10">
        <v>0</v>
      </c>
      <c r="K101" s="10">
        <v>14</v>
      </c>
      <c r="L101" s="10">
        <v>14</v>
      </c>
      <c r="M101" s="10">
        <v>8</v>
      </c>
      <c r="N101" s="10">
        <v>2.8</v>
      </c>
    </row>
    <row r="102" spans="1:14" ht="15.75">
      <c r="A102" s="5" t="s">
        <v>18</v>
      </c>
      <c r="B102" s="3" t="s">
        <v>39</v>
      </c>
      <c r="C102" s="10">
        <v>50</v>
      </c>
      <c r="D102" s="10">
        <v>8</v>
      </c>
      <c r="E102" s="10">
        <v>9</v>
      </c>
      <c r="F102" s="10">
        <v>60</v>
      </c>
      <c r="G102" s="10">
        <v>336</v>
      </c>
      <c r="H102" s="10"/>
      <c r="I102" s="10"/>
      <c r="J102" s="10"/>
      <c r="K102" s="10"/>
      <c r="L102" s="10"/>
      <c r="M102" s="10"/>
      <c r="N102" s="10"/>
    </row>
    <row r="103" spans="1:14" ht="15.75">
      <c r="A103" s="9"/>
      <c r="B103" s="6" t="s">
        <v>21</v>
      </c>
      <c r="C103" s="10"/>
      <c r="D103" s="12">
        <f>D96+D97+D98+D99+D100+D101+D102</f>
        <v>33.875999999999998</v>
      </c>
      <c r="E103" s="12">
        <f t="shared" ref="E103:N103" si="8">E96+E97+E98+E99+E100+E101+E102</f>
        <v>23.02</v>
      </c>
      <c r="F103" s="12">
        <f t="shared" si="8"/>
        <v>134.191</v>
      </c>
      <c r="G103" s="12">
        <f t="shared" si="8"/>
        <v>861.81999999999994</v>
      </c>
      <c r="H103" s="12">
        <f t="shared" si="8"/>
        <v>0.38589999999999997</v>
      </c>
      <c r="I103" s="12">
        <f t="shared" si="8"/>
        <v>12.2</v>
      </c>
      <c r="J103" s="12">
        <f t="shared" si="8"/>
        <v>28.04</v>
      </c>
      <c r="K103" s="12">
        <f t="shared" si="8"/>
        <v>152.07</v>
      </c>
      <c r="L103" s="12">
        <f t="shared" si="8"/>
        <v>300.39999999999998</v>
      </c>
      <c r="M103" s="12">
        <f t="shared" si="8"/>
        <v>91.77</v>
      </c>
      <c r="N103" s="12">
        <f t="shared" si="8"/>
        <v>8.2762999999999991</v>
      </c>
    </row>
    <row r="104" spans="1:14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/>
    </row>
    <row r="105" spans="1:14" ht="15.75">
      <c r="A105" s="19" t="s">
        <v>36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5.75">
      <c r="A106" s="19" t="s">
        <v>22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31.5">
      <c r="A107" s="9">
        <v>298</v>
      </c>
      <c r="B107" s="3" t="s">
        <v>81</v>
      </c>
      <c r="C107" s="9">
        <v>80</v>
      </c>
      <c r="D107" s="10">
        <f>20*0.53</f>
        <v>10.600000000000001</v>
      </c>
      <c r="E107" s="10">
        <f>6*0.53</f>
        <v>3.18</v>
      </c>
      <c r="F107" s="10">
        <f>5*0.53</f>
        <v>2.6500000000000004</v>
      </c>
      <c r="G107" s="10">
        <f>154*0.53</f>
        <v>81.62</v>
      </c>
      <c r="H107" s="10">
        <f>0.1*0.53</f>
        <v>5.3000000000000005E-2</v>
      </c>
      <c r="I107" s="10">
        <f>3.3*0.53</f>
        <v>1.7489999999999999</v>
      </c>
      <c r="J107" s="10">
        <f>43*0.53</f>
        <v>22.790000000000003</v>
      </c>
      <c r="K107" s="10">
        <f>69*0.53</f>
        <v>36.57</v>
      </c>
      <c r="L107" s="10">
        <f>227*0.53</f>
        <v>120.31</v>
      </c>
      <c r="M107" s="10">
        <f>46*0.53</f>
        <v>24.380000000000003</v>
      </c>
      <c r="N107" s="10">
        <f>0.99*0.53</f>
        <v>0.52470000000000006</v>
      </c>
    </row>
    <row r="108" spans="1:14" ht="15.75">
      <c r="A108" s="9">
        <v>377</v>
      </c>
      <c r="B108" s="9" t="s">
        <v>41</v>
      </c>
      <c r="C108" s="9">
        <v>150</v>
      </c>
      <c r="D108" s="10">
        <f>2.7*1.5</f>
        <v>4.0500000000000007</v>
      </c>
      <c r="E108" s="10">
        <f>4*1.5</f>
        <v>6</v>
      </c>
      <c r="F108" s="10">
        <f>5.8*1.5</f>
        <v>8.6999999999999993</v>
      </c>
      <c r="G108" s="10">
        <f>70*1.5</f>
        <v>105</v>
      </c>
      <c r="H108" s="10">
        <f>0.08*1.5</f>
        <v>0.12</v>
      </c>
      <c r="I108" s="10">
        <f>2.4*1.5</f>
        <v>3.5999999999999996</v>
      </c>
      <c r="J108" s="10">
        <f>20*1.5</f>
        <v>30</v>
      </c>
      <c r="K108" s="10">
        <f>25*1.5</f>
        <v>37.5</v>
      </c>
      <c r="L108" s="10">
        <f>49*1.5</f>
        <v>73.5</v>
      </c>
      <c r="M108" s="10">
        <f>16*1.5</f>
        <v>24</v>
      </c>
      <c r="N108" s="10">
        <f>0.55*1.5</f>
        <v>0.82500000000000007</v>
      </c>
    </row>
    <row r="109" spans="1:14" ht="31.5">
      <c r="A109" s="9">
        <v>18</v>
      </c>
      <c r="B109" s="3" t="s">
        <v>82</v>
      </c>
      <c r="C109" s="5">
        <v>80</v>
      </c>
      <c r="D109" s="10">
        <f>1*0.8</f>
        <v>0.8</v>
      </c>
      <c r="E109" s="10">
        <f>6.1*0.8</f>
        <v>4.88</v>
      </c>
      <c r="F109" s="10">
        <f>3.5*0.8</f>
        <v>2.8000000000000003</v>
      </c>
      <c r="G109" s="10">
        <f>73*0.8</f>
        <v>58.400000000000006</v>
      </c>
      <c r="H109" s="10">
        <f>0.05*0.8</f>
        <v>4.0000000000000008E-2</v>
      </c>
      <c r="I109" s="10">
        <f>13.4*0.8</f>
        <v>10.72</v>
      </c>
      <c r="J109" s="10">
        <v>0</v>
      </c>
      <c r="K109" s="10">
        <f>17*0.8</f>
        <v>13.600000000000001</v>
      </c>
      <c r="L109" s="10">
        <f>31*0.8</f>
        <v>24.8</v>
      </c>
      <c r="M109" s="10">
        <f>16*0.8</f>
        <v>12.8</v>
      </c>
      <c r="N109" s="10">
        <f>0.7*0.8</f>
        <v>0.55999999999999994</v>
      </c>
    </row>
    <row r="110" spans="1:14" ht="15.75">
      <c r="A110" s="2">
        <v>573</v>
      </c>
      <c r="B110" s="3" t="s">
        <v>20</v>
      </c>
      <c r="C110" s="2">
        <v>40</v>
      </c>
      <c r="D110" s="4">
        <f>7.6*0.4</f>
        <v>3.04</v>
      </c>
      <c r="E110" s="4">
        <f>0.8*0.4</f>
        <v>0.32000000000000006</v>
      </c>
      <c r="F110" s="4">
        <f>49.2*0.4</f>
        <v>19.680000000000003</v>
      </c>
      <c r="G110" s="4">
        <f>234*0.4</f>
        <v>93.600000000000009</v>
      </c>
      <c r="H110" s="4">
        <f>0.11*0.4</f>
        <v>4.4000000000000004E-2</v>
      </c>
      <c r="I110" s="4">
        <v>0</v>
      </c>
      <c r="J110" s="4">
        <v>0</v>
      </c>
      <c r="K110" s="4">
        <f>20*0.4</f>
        <v>8</v>
      </c>
      <c r="L110" s="4">
        <f>65*0.4</f>
        <v>26</v>
      </c>
      <c r="M110" s="4">
        <f>14*0.4</f>
        <v>5.6000000000000005</v>
      </c>
      <c r="N110" s="4">
        <f>1.1*0.4</f>
        <v>0.44000000000000006</v>
      </c>
    </row>
    <row r="111" spans="1:14" ht="15.75">
      <c r="A111" s="2">
        <v>457</v>
      </c>
      <c r="B111" s="3" t="s">
        <v>83</v>
      </c>
      <c r="C111" s="2">
        <v>200</v>
      </c>
      <c r="D111" s="4">
        <v>0.2</v>
      </c>
      <c r="E111" s="4">
        <v>0.1</v>
      </c>
      <c r="F111" s="4">
        <v>9.3000000000000007</v>
      </c>
      <c r="G111" s="4">
        <v>38</v>
      </c>
      <c r="H111" s="4">
        <v>0</v>
      </c>
      <c r="I111" s="4">
        <v>0</v>
      </c>
      <c r="J111" s="4">
        <v>0</v>
      </c>
      <c r="K111" s="4">
        <v>5.0999999999999996</v>
      </c>
      <c r="L111" s="4">
        <v>7.7</v>
      </c>
      <c r="M111" s="4">
        <v>4.2</v>
      </c>
      <c r="N111" s="4">
        <v>0.82</v>
      </c>
    </row>
    <row r="112" spans="1:14" ht="15.75">
      <c r="A112" s="5" t="s">
        <v>57</v>
      </c>
      <c r="B112" s="3" t="s">
        <v>58</v>
      </c>
      <c r="C112" s="2" t="s">
        <v>59</v>
      </c>
      <c r="D112" s="4">
        <f>7.5+23.2/5</f>
        <v>12.14</v>
      </c>
      <c r="E112" s="4">
        <f>2.9+29.5/5</f>
        <v>8.8000000000000007</v>
      </c>
      <c r="F112" s="4">
        <f>51.4</f>
        <v>51.4</v>
      </c>
      <c r="G112" s="4">
        <f>261+358/5</f>
        <v>332.6</v>
      </c>
      <c r="H112" s="4">
        <f>0.11+0.4/5</f>
        <v>0.19</v>
      </c>
      <c r="I112" s="4">
        <v>0.7</v>
      </c>
      <c r="J112" s="4">
        <v>260</v>
      </c>
      <c r="K112" s="4">
        <f>19+881/5</f>
        <v>195.2</v>
      </c>
      <c r="L112" s="4">
        <f>65+500/5</f>
        <v>165</v>
      </c>
      <c r="M112" s="4">
        <f>13+35/5</f>
        <v>20</v>
      </c>
      <c r="N112" s="4">
        <f>1.2+1/5</f>
        <v>1.4</v>
      </c>
    </row>
    <row r="113" spans="1:14" ht="15.75">
      <c r="A113" s="2">
        <v>82</v>
      </c>
      <c r="B113" s="3" t="s">
        <v>64</v>
      </c>
      <c r="C113" s="2">
        <v>100</v>
      </c>
      <c r="D113" s="4">
        <v>0.4</v>
      </c>
      <c r="E113" s="4">
        <v>0.4</v>
      </c>
      <c r="F113" s="4">
        <v>9.8000000000000007</v>
      </c>
      <c r="G113" s="4">
        <v>44</v>
      </c>
      <c r="H113" s="4">
        <v>0.03</v>
      </c>
      <c r="I113" s="4">
        <v>7</v>
      </c>
      <c r="J113" s="4">
        <v>0</v>
      </c>
      <c r="K113" s="4">
        <v>16.100000000000001</v>
      </c>
      <c r="L113" s="4">
        <v>11</v>
      </c>
      <c r="M113" s="4">
        <v>9</v>
      </c>
      <c r="N113" s="4">
        <v>2.21</v>
      </c>
    </row>
    <row r="114" spans="1:14" ht="15.75">
      <c r="A114" s="9"/>
      <c r="B114" s="6" t="s">
        <v>21</v>
      </c>
      <c r="C114" s="11"/>
      <c r="D114" s="12">
        <f t="shared" ref="D114:N114" si="9">D107+D108+D109+D110+D111+D112+D113</f>
        <v>31.23</v>
      </c>
      <c r="E114" s="12">
        <f t="shared" si="9"/>
        <v>23.68</v>
      </c>
      <c r="F114" s="12">
        <f t="shared" si="9"/>
        <v>104.33</v>
      </c>
      <c r="G114" s="12">
        <f t="shared" si="9"/>
        <v>753.22</v>
      </c>
      <c r="H114" s="12">
        <f t="shared" si="9"/>
        <v>0.47699999999999998</v>
      </c>
      <c r="I114" s="12">
        <f t="shared" si="9"/>
        <v>23.768999999999998</v>
      </c>
      <c r="J114" s="12">
        <f t="shared" si="9"/>
        <v>312.79000000000002</v>
      </c>
      <c r="K114" s="12">
        <f t="shared" si="9"/>
        <v>312.07</v>
      </c>
      <c r="L114" s="12">
        <f t="shared" si="9"/>
        <v>428.31</v>
      </c>
      <c r="M114" s="12">
        <f t="shared" si="9"/>
        <v>99.98</v>
      </c>
      <c r="N114" s="12">
        <f t="shared" si="9"/>
        <v>6.7796999999999992</v>
      </c>
    </row>
    <row r="115" spans="1:14" ht="15.75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.75">
      <c r="A116" s="19" t="s">
        <v>45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5.75">
      <c r="A117" s="19" t="s">
        <v>22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31.5">
      <c r="A118" s="9">
        <v>129</v>
      </c>
      <c r="B118" s="3" t="s">
        <v>73</v>
      </c>
      <c r="C118" s="9">
        <v>200</v>
      </c>
      <c r="D118" s="10">
        <f>11.6/5</f>
        <v>2.3199999999999998</v>
      </c>
      <c r="E118" s="10">
        <f>16.6/5</f>
        <v>3.3200000000000003</v>
      </c>
      <c r="F118" s="10">
        <f>48.8/5</f>
        <v>9.76</v>
      </c>
      <c r="G118" s="10">
        <f>391/5</f>
        <v>78.2</v>
      </c>
      <c r="H118" s="10">
        <f>0.27/5</f>
        <v>5.4000000000000006E-2</v>
      </c>
      <c r="I118" s="10">
        <f>15.2/5</f>
        <v>3.04</v>
      </c>
      <c r="J118" s="10">
        <f>8.5/5</f>
        <v>1.7</v>
      </c>
      <c r="K118" s="10">
        <f>64/5</f>
        <v>12.8</v>
      </c>
      <c r="L118" s="10">
        <f>187/5</f>
        <v>37.4</v>
      </c>
      <c r="M118" s="10">
        <f>68/5</f>
        <v>13.6</v>
      </c>
      <c r="N118" s="10">
        <f>3.26/5</f>
        <v>0.65199999999999991</v>
      </c>
    </row>
    <row r="119" spans="1:14" ht="15.75">
      <c r="A119" s="2">
        <v>225</v>
      </c>
      <c r="B119" s="3" t="s">
        <v>84</v>
      </c>
      <c r="C119" s="2">
        <v>100</v>
      </c>
      <c r="D119" s="4">
        <f>42.4*0.097</f>
        <v>4.1128</v>
      </c>
      <c r="E119" s="4">
        <f>38.4*0.097</f>
        <v>3.7248000000000001</v>
      </c>
      <c r="F119" s="4">
        <f>185.8*0.097</f>
        <v>18.022600000000001</v>
      </c>
      <c r="G119" s="4">
        <f>1258*0.097</f>
        <v>122.02600000000001</v>
      </c>
      <c r="H119" s="4">
        <f>0.92*0.097</f>
        <v>8.924E-2</v>
      </c>
      <c r="I119" s="4">
        <f>6.2*0.097</f>
        <v>0.60140000000000005</v>
      </c>
      <c r="J119" s="4">
        <f>191*0.097</f>
        <v>18.527000000000001</v>
      </c>
      <c r="K119" s="4">
        <f>651*0.097</f>
        <v>63.146999999999998</v>
      </c>
      <c r="L119" s="4">
        <f>1012*0.097</f>
        <v>98.164000000000001</v>
      </c>
      <c r="M119" s="4">
        <f>272*0.097</f>
        <v>26.384</v>
      </c>
      <c r="N119" s="4">
        <f>7.27*0.097</f>
        <v>0.70518999999999998</v>
      </c>
    </row>
    <row r="120" spans="1:14" ht="31.5">
      <c r="A120" s="9">
        <v>372</v>
      </c>
      <c r="B120" s="3" t="s">
        <v>85</v>
      </c>
      <c r="C120" s="5">
        <v>70</v>
      </c>
      <c r="D120" s="10">
        <v>14</v>
      </c>
      <c r="E120" s="10">
        <v>12.6</v>
      </c>
      <c r="F120" s="10">
        <v>7.5</v>
      </c>
      <c r="G120" s="10">
        <v>199</v>
      </c>
      <c r="H120" s="10">
        <v>7.0000000000000007E-2</v>
      </c>
      <c r="I120" s="10">
        <v>0.6</v>
      </c>
      <c r="J120" s="10">
        <v>51</v>
      </c>
      <c r="K120" s="10">
        <v>34</v>
      </c>
      <c r="L120" s="10">
        <v>128</v>
      </c>
      <c r="M120" s="10">
        <v>17</v>
      </c>
      <c r="N120" s="10">
        <v>1.27</v>
      </c>
    </row>
    <row r="121" spans="1:14" ht="15.75">
      <c r="A121" s="2">
        <v>464</v>
      </c>
      <c r="B121" s="3" t="s">
        <v>86</v>
      </c>
      <c r="C121" s="2">
        <v>200</v>
      </c>
      <c r="D121" s="4">
        <v>1.4</v>
      </c>
      <c r="E121" s="4">
        <v>1.2</v>
      </c>
      <c r="F121" s="4">
        <v>11.4</v>
      </c>
      <c r="G121" s="4">
        <v>63</v>
      </c>
      <c r="H121" s="4">
        <v>0.02</v>
      </c>
      <c r="I121" s="4">
        <v>0.3</v>
      </c>
      <c r="J121" s="4">
        <v>9.5</v>
      </c>
      <c r="K121" s="4">
        <v>54.3</v>
      </c>
      <c r="L121" s="4">
        <v>38.299999999999997</v>
      </c>
      <c r="M121" s="4">
        <v>6.3</v>
      </c>
      <c r="N121" s="4">
        <v>7.0000000000000007E-2</v>
      </c>
    </row>
    <row r="122" spans="1:14" ht="15.75">
      <c r="A122" s="2">
        <v>573</v>
      </c>
      <c r="B122" s="3" t="s">
        <v>20</v>
      </c>
      <c r="C122" s="2">
        <v>40</v>
      </c>
      <c r="D122" s="4">
        <f>7.6*0.4</f>
        <v>3.04</v>
      </c>
      <c r="E122" s="4">
        <f>0.8*0.4</f>
        <v>0.32000000000000006</v>
      </c>
      <c r="F122" s="4">
        <f>49.2*0.4</f>
        <v>19.680000000000003</v>
      </c>
      <c r="G122" s="4">
        <f>234*0.4</f>
        <v>93.600000000000009</v>
      </c>
      <c r="H122" s="4">
        <f>0.11*0.4</f>
        <v>4.4000000000000004E-2</v>
      </c>
      <c r="I122" s="4">
        <v>0</v>
      </c>
      <c r="J122" s="4">
        <v>0</v>
      </c>
      <c r="K122" s="4">
        <f>20*0.4</f>
        <v>8</v>
      </c>
      <c r="L122" s="4">
        <f>65*0.4</f>
        <v>26</v>
      </c>
      <c r="M122" s="4">
        <f>14*0.4</f>
        <v>5.6000000000000005</v>
      </c>
      <c r="N122" s="4">
        <f>1.1*0.4</f>
        <v>0.44000000000000006</v>
      </c>
    </row>
    <row r="123" spans="1:14" ht="15.75">
      <c r="A123" s="5" t="s">
        <v>18</v>
      </c>
      <c r="B123" s="3" t="s">
        <v>39</v>
      </c>
      <c r="C123" s="2">
        <v>50</v>
      </c>
      <c r="D123" s="4">
        <v>8</v>
      </c>
      <c r="E123" s="4">
        <v>9</v>
      </c>
      <c r="F123" s="4">
        <v>60</v>
      </c>
      <c r="G123" s="4">
        <v>336</v>
      </c>
      <c r="H123" s="4"/>
      <c r="I123" s="4"/>
      <c r="J123" s="4"/>
      <c r="K123" s="4"/>
      <c r="L123" s="4"/>
      <c r="M123" s="4"/>
      <c r="N123" s="4"/>
    </row>
    <row r="124" spans="1:14" ht="15.75">
      <c r="A124" s="5"/>
      <c r="B124" s="3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9"/>
      <c r="B125" s="6" t="s">
        <v>21</v>
      </c>
      <c r="C125" s="9"/>
      <c r="D125" s="12">
        <f>D118+D119+D120+D121+D122+D123+D124</f>
        <v>32.872799999999998</v>
      </c>
      <c r="E125" s="12">
        <f t="shared" ref="E125:N125" si="10">E118+E119+E120+E121+E122+E123+E124</f>
        <v>30.1648</v>
      </c>
      <c r="F125" s="12">
        <f t="shared" si="10"/>
        <v>126.3626</v>
      </c>
      <c r="G125" s="12">
        <f t="shared" si="10"/>
        <v>891.82600000000002</v>
      </c>
      <c r="H125" s="12">
        <f t="shared" si="10"/>
        <v>0.27723999999999999</v>
      </c>
      <c r="I125" s="12">
        <f t="shared" si="10"/>
        <v>4.5413999999999994</v>
      </c>
      <c r="J125" s="12">
        <f t="shared" si="10"/>
        <v>80.727000000000004</v>
      </c>
      <c r="K125" s="12">
        <f t="shared" si="10"/>
        <v>172.24700000000001</v>
      </c>
      <c r="L125" s="12">
        <f t="shared" si="10"/>
        <v>327.86399999999998</v>
      </c>
      <c r="M125" s="12">
        <f t="shared" si="10"/>
        <v>68.884</v>
      </c>
      <c r="N125" s="12">
        <f t="shared" si="10"/>
        <v>3.1371899999999995</v>
      </c>
    </row>
    <row r="126" spans="1:14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4"/>
    </row>
    <row r="127" spans="1:14" ht="15.75">
      <c r="A127" s="19" t="s">
        <v>88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5.75">
      <c r="A128" s="19" t="s">
        <v>22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31.5">
      <c r="A129" s="2">
        <v>154</v>
      </c>
      <c r="B129" s="3" t="s">
        <v>40</v>
      </c>
      <c r="C129" s="2">
        <v>200</v>
      </c>
      <c r="D129" s="4">
        <f>8.5/5</f>
        <v>1.7</v>
      </c>
      <c r="E129" s="4">
        <f>20.4/5</f>
        <v>4.08</v>
      </c>
      <c r="F129" s="4">
        <f>58.2/5</f>
        <v>11.64</v>
      </c>
      <c r="G129" s="4">
        <v>93.7</v>
      </c>
      <c r="H129" s="4">
        <f>0.3/5</f>
        <v>0.06</v>
      </c>
      <c r="I129" s="4">
        <f>17.4/5</f>
        <v>3.4799999999999995</v>
      </c>
      <c r="J129" s="4">
        <v>0</v>
      </c>
      <c r="K129" s="4">
        <f>115/5</f>
        <v>23</v>
      </c>
      <c r="L129" s="4">
        <f>257/5</f>
        <v>51.4</v>
      </c>
      <c r="M129" s="4">
        <f>98/5</f>
        <v>19.600000000000001</v>
      </c>
      <c r="N129" s="4">
        <f>3.61/5</f>
        <v>0.72199999999999998</v>
      </c>
    </row>
    <row r="130" spans="1:14" ht="15.75">
      <c r="A130" s="2">
        <v>256</v>
      </c>
      <c r="B130" s="3" t="s">
        <v>19</v>
      </c>
      <c r="C130" s="2">
        <v>100</v>
      </c>
      <c r="D130" s="4">
        <v>3.7</v>
      </c>
      <c r="E130" s="4">
        <v>3.3</v>
      </c>
      <c r="F130" s="4">
        <v>19.7</v>
      </c>
      <c r="G130" s="4">
        <v>123</v>
      </c>
      <c r="H130" s="4">
        <v>0.04</v>
      </c>
      <c r="I130" s="4">
        <v>0</v>
      </c>
      <c r="J130" s="4">
        <v>21</v>
      </c>
      <c r="K130" s="4">
        <v>8</v>
      </c>
      <c r="L130" s="4">
        <v>30</v>
      </c>
      <c r="M130" s="4">
        <v>5</v>
      </c>
      <c r="N130" s="4">
        <v>0.7</v>
      </c>
    </row>
    <row r="131" spans="1:14" ht="15.75">
      <c r="A131" s="9">
        <v>367</v>
      </c>
      <c r="B131" s="3" t="s">
        <v>87</v>
      </c>
      <c r="C131" s="9">
        <v>120</v>
      </c>
      <c r="D131" s="10">
        <v>34.5</v>
      </c>
      <c r="E131" s="10">
        <v>41.6</v>
      </c>
      <c r="F131" s="10">
        <v>5.44</v>
      </c>
      <c r="G131" s="10">
        <v>534.29</v>
      </c>
      <c r="H131" s="10">
        <f>0.04*0.86</f>
        <v>3.44E-2</v>
      </c>
      <c r="I131" s="10">
        <f>0.5*0.86</f>
        <v>0.43</v>
      </c>
      <c r="J131" s="10">
        <f>74*0.86</f>
        <v>63.64</v>
      </c>
      <c r="K131" s="10">
        <f>25*0.86</f>
        <v>21.5</v>
      </c>
      <c r="L131" s="10">
        <f>69*0.86</f>
        <v>59.339999999999996</v>
      </c>
      <c r="M131" s="10">
        <f>18*0.86</f>
        <v>15.48</v>
      </c>
      <c r="N131" s="10">
        <f>1.16*0.86</f>
        <v>0.99759999999999993</v>
      </c>
    </row>
    <row r="132" spans="1:14" ht="15.75">
      <c r="A132" s="2">
        <v>573</v>
      </c>
      <c r="B132" s="3" t="s">
        <v>20</v>
      </c>
      <c r="C132" s="2">
        <v>40</v>
      </c>
      <c r="D132" s="4">
        <f>7.6*0.4</f>
        <v>3.04</v>
      </c>
      <c r="E132" s="4">
        <f>0.8*0.4</f>
        <v>0.32000000000000006</v>
      </c>
      <c r="F132" s="4">
        <f>49.2*0.4</f>
        <v>19.680000000000003</v>
      </c>
      <c r="G132" s="4">
        <f>234*0.4</f>
        <v>93.600000000000009</v>
      </c>
      <c r="H132" s="4">
        <f>0.11*0.4</f>
        <v>4.4000000000000004E-2</v>
      </c>
      <c r="I132" s="4">
        <v>0</v>
      </c>
      <c r="J132" s="4">
        <v>0</v>
      </c>
      <c r="K132" s="4">
        <f>20*0.4</f>
        <v>8</v>
      </c>
      <c r="L132" s="4">
        <f>65*0.4</f>
        <v>26</v>
      </c>
      <c r="M132" s="4">
        <f>14*0.4</f>
        <v>5.6000000000000005</v>
      </c>
      <c r="N132" s="4">
        <f>1.1*0.4</f>
        <v>0.44000000000000006</v>
      </c>
    </row>
    <row r="133" spans="1:14" ht="15.75">
      <c r="A133" s="5">
        <v>497</v>
      </c>
      <c r="B133" s="3" t="s">
        <v>37</v>
      </c>
      <c r="C133" s="2">
        <v>200</v>
      </c>
      <c r="D133" s="4">
        <v>0.1</v>
      </c>
      <c r="E133" s="4">
        <v>0.04</v>
      </c>
      <c r="F133" s="4">
        <v>9.9</v>
      </c>
      <c r="G133" s="4">
        <v>41</v>
      </c>
      <c r="H133" s="4">
        <v>0</v>
      </c>
      <c r="I133" s="4">
        <v>1.1000000000000001</v>
      </c>
      <c r="J133" s="4">
        <v>0</v>
      </c>
      <c r="K133" s="4">
        <v>3</v>
      </c>
      <c r="L133" s="4">
        <v>2</v>
      </c>
      <c r="M133" s="4">
        <v>2.9</v>
      </c>
      <c r="N133" s="4">
        <v>0.15</v>
      </c>
    </row>
    <row r="134" spans="1:14" ht="15.75">
      <c r="A134" s="5">
        <v>501</v>
      </c>
      <c r="B134" s="9" t="s">
        <v>38</v>
      </c>
      <c r="C134" s="9">
        <v>200</v>
      </c>
      <c r="D134" s="10">
        <v>1</v>
      </c>
      <c r="E134" s="10">
        <v>0.2</v>
      </c>
      <c r="F134" s="10">
        <v>20.2</v>
      </c>
      <c r="G134" s="10">
        <v>86</v>
      </c>
      <c r="H134" s="10">
        <v>0.02</v>
      </c>
      <c r="I134" s="10">
        <v>4</v>
      </c>
      <c r="J134" s="10">
        <v>0</v>
      </c>
      <c r="K134" s="10">
        <v>14</v>
      </c>
      <c r="L134" s="10">
        <v>14</v>
      </c>
      <c r="M134" s="10">
        <v>8</v>
      </c>
      <c r="N134" s="10">
        <v>2.8</v>
      </c>
    </row>
    <row r="135" spans="1:14" ht="15.75">
      <c r="A135" s="2"/>
      <c r="B135" s="3"/>
      <c r="C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.75">
      <c r="A136" s="9"/>
      <c r="B136" s="6" t="s">
        <v>21</v>
      </c>
      <c r="C136" s="9"/>
      <c r="D136" s="12">
        <f>D129+D130+D131+D132+D133+D134+D135</f>
        <v>44.04</v>
      </c>
      <c r="E136" s="12">
        <f t="shared" ref="E136:N136" si="11">E129+E130+E131+E132+E133+E134+E135</f>
        <v>49.540000000000006</v>
      </c>
      <c r="F136" s="12">
        <f t="shared" si="11"/>
        <v>86.560000000000016</v>
      </c>
      <c r="G136" s="12">
        <f t="shared" si="11"/>
        <v>971.59</v>
      </c>
      <c r="H136" s="12">
        <f t="shared" si="11"/>
        <v>0.19840000000000002</v>
      </c>
      <c r="I136" s="12">
        <f t="shared" si="11"/>
        <v>9.01</v>
      </c>
      <c r="J136" s="12">
        <f t="shared" si="11"/>
        <v>84.64</v>
      </c>
      <c r="K136" s="12">
        <f t="shared" si="11"/>
        <v>77.5</v>
      </c>
      <c r="L136" s="12">
        <f t="shared" si="11"/>
        <v>182.74</v>
      </c>
      <c r="M136" s="12">
        <f t="shared" si="11"/>
        <v>56.58</v>
      </c>
      <c r="N136" s="12">
        <f t="shared" si="11"/>
        <v>5.8095999999999997</v>
      </c>
    </row>
    <row r="137" spans="1:14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/>
    </row>
    <row r="138" spans="1:14" ht="15.75">
      <c r="A138" s="19" t="s">
        <v>46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5.75">
      <c r="A139" s="19" t="s">
        <v>22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5.75">
      <c r="A140" s="9">
        <v>328</v>
      </c>
      <c r="B140" s="3" t="s">
        <v>52</v>
      </c>
      <c r="C140" s="9">
        <v>200</v>
      </c>
      <c r="D140" s="10">
        <v>18.8</v>
      </c>
      <c r="E140" s="10">
        <v>14.3</v>
      </c>
      <c r="F140" s="10">
        <v>25.8</v>
      </c>
      <c r="G140" s="10">
        <v>307</v>
      </c>
      <c r="H140" s="10">
        <v>0.18</v>
      </c>
      <c r="I140" s="10">
        <v>15</v>
      </c>
      <c r="J140" s="10">
        <v>24</v>
      </c>
      <c r="K140" s="10">
        <v>31</v>
      </c>
      <c r="L140" s="10">
        <v>209</v>
      </c>
      <c r="M140" s="10">
        <v>54</v>
      </c>
      <c r="N140" s="10">
        <v>3.36</v>
      </c>
    </row>
    <row r="141" spans="1:14" ht="31.5">
      <c r="A141" s="9">
        <v>18</v>
      </c>
      <c r="B141" s="3" t="s">
        <v>82</v>
      </c>
      <c r="C141" s="5">
        <v>80</v>
      </c>
      <c r="D141" s="10">
        <f>1*0.8</f>
        <v>0.8</v>
      </c>
      <c r="E141" s="10">
        <f>6.1*0.8</f>
        <v>4.88</v>
      </c>
      <c r="F141" s="10">
        <f>3.5*0.8</f>
        <v>2.8000000000000003</v>
      </c>
      <c r="G141" s="10">
        <f>73*0.8</f>
        <v>58.400000000000006</v>
      </c>
      <c r="H141" s="10">
        <f>0.05*0.8</f>
        <v>4.0000000000000008E-2</v>
      </c>
      <c r="I141" s="10">
        <f>13.4*0.8</f>
        <v>10.72</v>
      </c>
      <c r="J141" s="10">
        <v>0</v>
      </c>
      <c r="K141" s="10">
        <f>17*0.8</f>
        <v>13.600000000000001</v>
      </c>
      <c r="L141" s="10">
        <f>31*0.8</f>
        <v>24.8</v>
      </c>
      <c r="M141" s="10">
        <f>16*0.8</f>
        <v>12.8</v>
      </c>
      <c r="N141" s="10">
        <f>0.7*0.8</f>
        <v>0.55999999999999994</v>
      </c>
    </row>
    <row r="142" spans="1:14" ht="15.75">
      <c r="A142" s="2">
        <v>573</v>
      </c>
      <c r="B142" s="3" t="s">
        <v>20</v>
      </c>
      <c r="C142" s="2">
        <v>40</v>
      </c>
      <c r="D142" s="4">
        <f>7.6*0.4</f>
        <v>3.04</v>
      </c>
      <c r="E142" s="4">
        <f>0.8*0.4</f>
        <v>0.32000000000000006</v>
      </c>
      <c r="F142" s="4">
        <f>49.2*0.4</f>
        <v>19.680000000000003</v>
      </c>
      <c r="G142" s="4">
        <f>234*0.4</f>
        <v>93.600000000000009</v>
      </c>
      <c r="H142" s="4">
        <f>0.11*0.4</f>
        <v>4.4000000000000004E-2</v>
      </c>
      <c r="I142" s="4">
        <v>0</v>
      </c>
      <c r="J142" s="4">
        <v>0</v>
      </c>
      <c r="K142" s="4">
        <f>20*0.4</f>
        <v>8</v>
      </c>
      <c r="L142" s="4">
        <f>65*0.4</f>
        <v>26</v>
      </c>
      <c r="M142" s="4">
        <f>14*0.4</f>
        <v>5.6000000000000005</v>
      </c>
      <c r="N142" s="4">
        <f>1.1*0.4</f>
        <v>0.44000000000000006</v>
      </c>
    </row>
    <row r="143" spans="1:14" ht="15.75">
      <c r="A143" s="5">
        <v>459</v>
      </c>
      <c r="B143" s="3" t="s">
        <v>28</v>
      </c>
      <c r="C143" s="2" t="s">
        <v>56</v>
      </c>
      <c r="D143" s="4">
        <v>0.3</v>
      </c>
      <c r="E143" s="4">
        <v>0.1</v>
      </c>
      <c r="F143" s="4">
        <v>9.5</v>
      </c>
      <c r="G143" s="4">
        <v>40</v>
      </c>
      <c r="H143" s="4">
        <v>0</v>
      </c>
      <c r="I143" s="4">
        <v>0</v>
      </c>
      <c r="J143" s="4">
        <v>1</v>
      </c>
      <c r="K143" s="4">
        <v>7.9</v>
      </c>
      <c r="L143" s="4">
        <v>9.1</v>
      </c>
      <c r="M143" s="4">
        <v>5</v>
      </c>
      <c r="N143" s="4">
        <v>0.87</v>
      </c>
    </row>
    <row r="144" spans="1:14" ht="15.75">
      <c r="A144" s="2">
        <v>82</v>
      </c>
      <c r="B144" s="3" t="s">
        <v>64</v>
      </c>
      <c r="C144" s="2">
        <v>100</v>
      </c>
      <c r="D144" s="4">
        <v>0.4</v>
      </c>
      <c r="E144" s="4">
        <v>0.4</v>
      </c>
      <c r="F144" s="4">
        <v>9.8000000000000007</v>
      </c>
      <c r="G144" s="4">
        <v>44</v>
      </c>
      <c r="H144" s="4">
        <v>0.03</v>
      </c>
      <c r="I144" s="4">
        <v>7</v>
      </c>
      <c r="J144" s="4">
        <v>0</v>
      </c>
      <c r="K144" s="4">
        <v>16.100000000000001</v>
      </c>
      <c r="L144" s="4">
        <v>11</v>
      </c>
      <c r="M144" s="4">
        <v>9</v>
      </c>
      <c r="N144" s="4">
        <v>2.21</v>
      </c>
    </row>
    <row r="145" spans="1:14" ht="15.75">
      <c r="A145" s="5" t="s">
        <v>57</v>
      </c>
      <c r="B145" s="3" t="s">
        <v>58</v>
      </c>
      <c r="C145" s="2" t="s">
        <v>59</v>
      </c>
      <c r="D145" s="4">
        <f>7.5+23.2/5</f>
        <v>12.14</v>
      </c>
      <c r="E145" s="4">
        <f>2.9+29.5/5</f>
        <v>8.8000000000000007</v>
      </c>
      <c r="F145" s="4">
        <f>51.4</f>
        <v>51.4</v>
      </c>
      <c r="G145" s="4">
        <f>261+358/5</f>
        <v>332.6</v>
      </c>
      <c r="H145" s="4">
        <f>0.11+0.4/5</f>
        <v>0.19</v>
      </c>
      <c r="I145" s="4">
        <v>0.7</v>
      </c>
      <c r="J145" s="4">
        <v>260</v>
      </c>
      <c r="K145" s="4">
        <f>19+881/5</f>
        <v>195.2</v>
      </c>
      <c r="L145" s="4">
        <f>65+500/5</f>
        <v>165</v>
      </c>
      <c r="M145" s="4">
        <f>13+35/5</f>
        <v>20</v>
      </c>
      <c r="N145" s="4">
        <f>1.2+1/5</f>
        <v>1.4</v>
      </c>
    </row>
    <row r="146" spans="1:14" ht="15.75">
      <c r="A146" s="9"/>
      <c r="B146" s="6" t="s">
        <v>21</v>
      </c>
      <c r="C146" s="9"/>
      <c r="D146" s="12">
        <f>D140+D141+D142+D143+D144+D145</f>
        <v>35.480000000000004</v>
      </c>
      <c r="E146" s="12">
        <f t="shared" ref="E146:N146" si="12">E140+E141+E142+E143+E144+E145</f>
        <v>28.8</v>
      </c>
      <c r="F146" s="12">
        <f t="shared" si="12"/>
        <v>118.97999999999999</v>
      </c>
      <c r="G146" s="12">
        <f t="shared" si="12"/>
        <v>875.6</v>
      </c>
      <c r="H146" s="12">
        <f t="shared" si="12"/>
        <v>0.48400000000000004</v>
      </c>
      <c r="I146" s="12">
        <f t="shared" si="12"/>
        <v>33.42</v>
      </c>
      <c r="J146" s="12">
        <f t="shared" si="12"/>
        <v>285</v>
      </c>
      <c r="K146" s="12">
        <f t="shared" si="12"/>
        <v>271.79999999999995</v>
      </c>
      <c r="L146" s="12">
        <f t="shared" si="12"/>
        <v>444.90000000000003</v>
      </c>
      <c r="M146" s="12">
        <f t="shared" si="12"/>
        <v>106.39999999999999</v>
      </c>
      <c r="N146" s="12">
        <f t="shared" si="12"/>
        <v>8.84</v>
      </c>
    </row>
    <row r="147" spans="1:14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4"/>
    </row>
    <row r="148" spans="1:14" ht="15.75">
      <c r="A148" s="19" t="s">
        <v>47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5.75">
      <c r="A149" s="19" t="s">
        <v>22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31.5">
      <c r="A150" s="9">
        <v>123</v>
      </c>
      <c r="B150" s="3" t="s">
        <v>89</v>
      </c>
      <c r="C150" s="13">
        <v>200</v>
      </c>
      <c r="D150" s="10">
        <f>35.8/5</f>
        <v>7.1599999999999993</v>
      </c>
      <c r="E150" s="10">
        <f>38.3/5</f>
        <v>7.6599999999999993</v>
      </c>
      <c r="F150" s="10">
        <f>30/5</f>
        <v>6</v>
      </c>
      <c r="G150" s="10">
        <f>608/5</f>
        <v>121.6</v>
      </c>
      <c r="H150" s="10">
        <f>0.34/5</f>
        <v>6.8000000000000005E-2</v>
      </c>
      <c r="I150" s="10">
        <f>22.3/5</f>
        <v>4.46</v>
      </c>
      <c r="J150" s="10">
        <f>32/5</f>
        <v>6.4</v>
      </c>
      <c r="K150" s="10">
        <f>86/5</f>
        <v>17.2</v>
      </c>
      <c r="L150" s="10">
        <f>428/5</f>
        <v>85.6</v>
      </c>
      <c r="M150" s="10">
        <f>107/5</f>
        <v>21.4</v>
      </c>
      <c r="N150" s="10">
        <f>7.03/5</f>
        <v>1.4060000000000001</v>
      </c>
    </row>
    <row r="151" spans="1:14" ht="15.75">
      <c r="A151" s="9">
        <v>307</v>
      </c>
      <c r="B151" s="3" t="s">
        <v>71</v>
      </c>
      <c r="C151" s="9">
        <v>70</v>
      </c>
      <c r="D151" s="10">
        <v>9</v>
      </c>
      <c r="E151" s="10">
        <v>1.1000000000000001</v>
      </c>
      <c r="F151" s="10">
        <v>7</v>
      </c>
      <c r="G151" s="10">
        <v>74</v>
      </c>
      <c r="H151" s="10">
        <v>0.05</v>
      </c>
      <c r="I151" s="10">
        <v>0</v>
      </c>
      <c r="J151" s="10">
        <v>13</v>
      </c>
      <c r="K151" s="10">
        <v>37</v>
      </c>
      <c r="L151" s="10">
        <v>123</v>
      </c>
      <c r="M151" s="10">
        <v>18</v>
      </c>
      <c r="N151" s="10">
        <v>0.42</v>
      </c>
    </row>
    <row r="152" spans="1:14" ht="15.75">
      <c r="A152" s="9">
        <v>386</v>
      </c>
      <c r="B152" s="9" t="s">
        <v>51</v>
      </c>
      <c r="C152" s="9">
        <v>100</v>
      </c>
      <c r="D152" s="10">
        <f>24/5</f>
        <v>4.8</v>
      </c>
      <c r="E152" s="10">
        <f>36/5</f>
        <v>7.2</v>
      </c>
      <c r="F152" s="10">
        <f>196/5</f>
        <v>39.200000000000003</v>
      </c>
      <c r="G152" s="10">
        <f>1208/5</f>
        <v>241.6</v>
      </c>
      <c r="H152" s="10">
        <f>0.16/5</f>
        <v>3.2000000000000001E-2</v>
      </c>
      <c r="I152" s="10">
        <v>0</v>
      </c>
      <c r="J152" s="10">
        <f>171/5</f>
        <v>34.200000000000003</v>
      </c>
      <c r="K152" s="10">
        <f>40/5</f>
        <v>8</v>
      </c>
      <c r="L152" s="10">
        <f>419/5</f>
        <v>83.8</v>
      </c>
      <c r="M152" s="10">
        <f>130/5</f>
        <v>26</v>
      </c>
      <c r="N152" s="10">
        <f>0.84/5</f>
        <v>0.16799999999999998</v>
      </c>
    </row>
    <row r="153" spans="1:14" ht="15.75">
      <c r="A153" s="2">
        <v>573</v>
      </c>
      <c r="B153" s="3" t="s">
        <v>20</v>
      </c>
      <c r="C153" s="2">
        <v>40</v>
      </c>
      <c r="D153" s="4">
        <f>7.6*0.4</f>
        <v>3.04</v>
      </c>
      <c r="E153" s="4">
        <f>0.8*0.4</f>
        <v>0.32000000000000006</v>
      </c>
      <c r="F153" s="4">
        <f>49.2*0.4</f>
        <v>19.680000000000003</v>
      </c>
      <c r="G153" s="4">
        <f>234*0.4</f>
        <v>93.600000000000009</v>
      </c>
      <c r="H153" s="4">
        <f>0.11*0.4</f>
        <v>4.4000000000000004E-2</v>
      </c>
      <c r="I153" s="4">
        <v>0</v>
      </c>
      <c r="J153" s="4">
        <v>0</v>
      </c>
      <c r="K153" s="4">
        <f>20*0.4</f>
        <v>8</v>
      </c>
      <c r="L153" s="4">
        <f>65*0.4</f>
        <v>26</v>
      </c>
      <c r="M153" s="4">
        <f>14*0.4</f>
        <v>5.6000000000000005</v>
      </c>
      <c r="N153" s="4">
        <f>1.1*0.4</f>
        <v>0.44000000000000006</v>
      </c>
    </row>
    <row r="154" spans="1:14" ht="31.5">
      <c r="A154" s="2">
        <v>410</v>
      </c>
      <c r="B154" s="3" t="s">
        <v>72</v>
      </c>
      <c r="C154" s="2">
        <v>30</v>
      </c>
      <c r="D154" s="4">
        <f>33*0.03</f>
        <v>0.99</v>
      </c>
      <c r="E154" s="4">
        <f>186.9*0.03</f>
        <v>5.6070000000000002</v>
      </c>
      <c r="F154" s="4">
        <f>53.4*0.03</f>
        <v>1.6019999999999999</v>
      </c>
      <c r="G154" s="4">
        <f>2027*0.03</f>
        <v>60.809999999999995</v>
      </c>
      <c r="H154" s="4">
        <f>0.35*0.03</f>
        <v>1.0499999999999999E-2</v>
      </c>
      <c r="I154" s="4">
        <f>7.2*0.03</f>
        <v>0.216</v>
      </c>
      <c r="J154" s="4">
        <f>1140*0.03</f>
        <v>34.199999999999996</v>
      </c>
      <c r="K154" s="4">
        <f>858*0.03</f>
        <v>25.74</v>
      </c>
      <c r="L154" s="4">
        <f>643*0.03</f>
        <v>19.29</v>
      </c>
      <c r="M154" s="4">
        <f>134*0.03</f>
        <v>4.0199999999999996</v>
      </c>
      <c r="N154" s="4">
        <f>4.54*0.03</f>
        <v>0.13619999999999999</v>
      </c>
    </row>
    <row r="155" spans="1:14" ht="15.75">
      <c r="A155" s="2">
        <v>486</v>
      </c>
      <c r="B155" s="3" t="s">
        <v>44</v>
      </c>
      <c r="C155" s="2">
        <v>200</v>
      </c>
      <c r="D155" s="4">
        <v>0.1</v>
      </c>
      <c r="E155" s="4">
        <v>0.1</v>
      </c>
      <c r="F155" s="4">
        <v>11.1</v>
      </c>
      <c r="G155" s="4">
        <v>46</v>
      </c>
      <c r="H155" s="4">
        <v>0.01</v>
      </c>
      <c r="I155" s="4">
        <v>0.6</v>
      </c>
      <c r="J155" s="4">
        <v>0</v>
      </c>
      <c r="K155" s="4">
        <v>3.4</v>
      </c>
      <c r="L155" s="4">
        <v>2.1</v>
      </c>
      <c r="M155" s="4">
        <v>1.7</v>
      </c>
      <c r="N155" s="4">
        <v>0.46</v>
      </c>
    </row>
    <row r="156" spans="1:14" ht="15.75">
      <c r="A156" s="5" t="s">
        <v>18</v>
      </c>
      <c r="B156" s="3" t="s">
        <v>39</v>
      </c>
      <c r="C156" s="10">
        <v>50</v>
      </c>
      <c r="D156" s="10">
        <v>8</v>
      </c>
      <c r="E156" s="10">
        <v>9</v>
      </c>
      <c r="F156" s="10">
        <v>60</v>
      </c>
      <c r="G156" s="10">
        <v>336</v>
      </c>
      <c r="H156" s="10"/>
      <c r="I156" s="10"/>
      <c r="J156" s="10"/>
      <c r="K156" s="10"/>
      <c r="L156" s="10"/>
      <c r="M156" s="10"/>
      <c r="N156" s="10"/>
    </row>
    <row r="157" spans="1:14" ht="15.75">
      <c r="A157" s="9"/>
      <c r="B157" s="6" t="s">
        <v>21</v>
      </c>
      <c r="C157" s="10"/>
      <c r="D157" s="12">
        <f>D150+D151+D152+D153+D154+D155+D156</f>
        <v>33.090000000000003</v>
      </c>
      <c r="E157" s="12">
        <f t="shared" ref="E157:N157" si="13">E150+E151+E152+E153+E154+E155+E156</f>
        <v>30.987000000000002</v>
      </c>
      <c r="F157" s="12">
        <f t="shared" si="13"/>
        <v>144.58199999999999</v>
      </c>
      <c r="G157" s="12">
        <f t="shared" si="13"/>
        <v>973.6099999999999</v>
      </c>
      <c r="H157" s="12">
        <f t="shared" si="13"/>
        <v>0.21450000000000005</v>
      </c>
      <c r="I157" s="12">
        <f t="shared" si="13"/>
        <v>5.2759999999999998</v>
      </c>
      <c r="J157" s="12">
        <f t="shared" si="13"/>
        <v>87.8</v>
      </c>
      <c r="K157" s="12">
        <f t="shared" si="13"/>
        <v>99.34</v>
      </c>
      <c r="L157" s="12">
        <f t="shared" si="13"/>
        <v>339.79</v>
      </c>
      <c r="M157" s="12">
        <f t="shared" si="13"/>
        <v>76.72</v>
      </c>
      <c r="N157" s="12">
        <f t="shared" si="13"/>
        <v>3.0302000000000002</v>
      </c>
    </row>
    <row r="158" spans="1:14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4"/>
    </row>
    <row r="159" spans="1:14" ht="15.75">
      <c r="A159" s="19" t="s">
        <v>48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5.75">
      <c r="A160" s="19" t="s">
        <v>22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5.75">
      <c r="A161" s="9">
        <v>101</v>
      </c>
      <c r="B161" s="3" t="s">
        <v>90</v>
      </c>
      <c r="C161" s="9">
        <v>200</v>
      </c>
      <c r="D161" s="10">
        <f>10/5</f>
        <v>2</v>
      </c>
      <c r="E161" s="10">
        <f>20.3/5</f>
        <v>4.0600000000000005</v>
      </c>
      <c r="F161" s="10">
        <f>36.7/5</f>
        <v>7.3400000000000007</v>
      </c>
      <c r="G161" s="10">
        <f>369/5</f>
        <v>73.8</v>
      </c>
      <c r="H161" s="10">
        <f>0.32/5</f>
        <v>6.4000000000000001E-2</v>
      </c>
      <c r="I161" s="10">
        <f>33/5</f>
        <v>6.6</v>
      </c>
      <c r="J161" s="10">
        <v>0</v>
      </c>
      <c r="K161" s="10">
        <f>91/5</f>
        <v>18.2</v>
      </c>
      <c r="L161" s="10">
        <f>219/5</f>
        <v>43.8</v>
      </c>
      <c r="M161" s="10">
        <f>91/5</f>
        <v>18.2</v>
      </c>
      <c r="N161" s="10">
        <f>3.52/5</f>
        <v>0.70399999999999996</v>
      </c>
    </row>
    <row r="162" spans="1:14" ht="15.75">
      <c r="A162" s="9">
        <v>339</v>
      </c>
      <c r="B162" s="3" t="s">
        <v>91</v>
      </c>
      <c r="C162" s="9">
        <v>70</v>
      </c>
      <c r="D162" s="10">
        <f>17.6*0.7</f>
        <v>12.32</v>
      </c>
      <c r="E162" s="10">
        <f>12.3*0.7</f>
        <v>8.61</v>
      </c>
      <c r="F162" s="10">
        <f>15*0.7</f>
        <v>10.5</v>
      </c>
      <c r="G162" s="10">
        <f>243*0.7</f>
        <v>170.1</v>
      </c>
      <c r="H162" s="10">
        <f>0.16*0.7</f>
        <v>0.11199999999999999</v>
      </c>
      <c r="I162" s="10">
        <v>0</v>
      </c>
      <c r="J162" s="10">
        <f>4*0.7</f>
        <v>2.8</v>
      </c>
      <c r="K162" s="10">
        <f>53*0.7</f>
        <v>37.099999999999994</v>
      </c>
      <c r="L162" s="10">
        <f>173*0.7</f>
        <v>121.1</v>
      </c>
      <c r="M162" s="10">
        <f>26*0.7</f>
        <v>18.2</v>
      </c>
      <c r="N162" s="10">
        <f>2.8*0.7</f>
        <v>1.9599999999999997</v>
      </c>
    </row>
    <row r="163" spans="1:14" ht="15.75">
      <c r="A163" s="9">
        <v>377</v>
      </c>
      <c r="B163" s="9" t="s">
        <v>41</v>
      </c>
      <c r="C163" s="9">
        <v>150</v>
      </c>
      <c r="D163" s="10">
        <f>2.7*1.5</f>
        <v>4.0500000000000007</v>
      </c>
      <c r="E163" s="10">
        <f>4*1.5</f>
        <v>6</v>
      </c>
      <c r="F163" s="10">
        <f>5.8*1.5</f>
        <v>8.6999999999999993</v>
      </c>
      <c r="G163" s="10">
        <f>70*1.5</f>
        <v>105</v>
      </c>
      <c r="H163" s="10">
        <f>0.08*1.5</f>
        <v>0.12</v>
      </c>
      <c r="I163" s="10">
        <f>2.4*1.5</f>
        <v>3.5999999999999996</v>
      </c>
      <c r="J163" s="10">
        <f>20*1.5</f>
        <v>30</v>
      </c>
      <c r="K163" s="10">
        <f>25*1.5</f>
        <v>37.5</v>
      </c>
      <c r="L163" s="10">
        <f>49*1.5</f>
        <v>73.5</v>
      </c>
      <c r="M163" s="10">
        <f>16*1.5</f>
        <v>24</v>
      </c>
      <c r="N163" s="10">
        <f>0.55*1.5</f>
        <v>0.82500000000000007</v>
      </c>
    </row>
    <row r="164" spans="1:14" ht="15.75">
      <c r="A164" s="2">
        <v>573</v>
      </c>
      <c r="B164" s="3" t="s">
        <v>20</v>
      </c>
      <c r="C164" s="2">
        <v>40</v>
      </c>
      <c r="D164" s="4">
        <f>7.6*0.4</f>
        <v>3.04</v>
      </c>
      <c r="E164" s="4">
        <f>0.8*0.4</f>
        <v>0.32000000000000006</v>
      </c>
      <c r="F164" s="4">
        <f>49.2*0.4</f>
        <v>19.680000000000003</v>
      </c>
      <c r="G164" s="4">
        <f>234*0.4</f>
        <v>93.600000000000009</v>
      </c>
      <c r="H164" s="4">
        <f>0.11*0.4</f>
        <v>4.4000000000000004E-2</v>
      </c>
      <c r="I164" s="4">
        <v>0</v>
      </c>
      <c r="J164" s="4">
        <v>0</v>
      </c>
      <c r="K164" s="4">
        <f>20*0.4</f>
        <v>8</v>
      </c>
      <c r="L164" s="4">
        <f>65*0.4</f>
        <v>26</v>
      </c>
      <c r="M164" s="4">
        <f>14*0.4</f>
        <v>5.6000000000000005</v>
      </c>
      <c r="N164" s="4">
        <f>1.1*0.4</f>
        <v>0.44000000000000006</v>
      </c>
    </row>
    <row r="165" spans="1:14" ht="15.75">
      <c r="A165" s="5">
        <v>508</v>
      </c>
      <c r="B165" s="3" t="s">
        <v>23</v>
      </c>
      <c r="C165" s="2">
        <v>200</v>
      </c>
      <c r="D165" s="4">
        <v>0.5</v>
      </c>
      <c r="E165" s="4">
        <v>0</v>
      </c>
      <c r="F165" s="4">
        <v>27</v>
      </c>
      <c r="G165" s="4">
        <v>110</v>
      </c>
      <c r="H165" s="4">
        <v>0.01</v>
      </c>
      <c r="I165" s="4">
        <v>0.2</v>
      </c>
      <c r="J165" s="4">
        <v>0</v>
      </c>
      <c r="K165" s="4">
        <v>20.100000000000001</v>
      </c>
      <c r="L165" s="4">
        <v>19.2</v>
      </c>
      <c r="M165" s="4">
        <v>14.4</v>
      </c>
      <c r="N165" s="4">
        <v>0.69</v>
      </c>
    </row>
    <row r="166" spans="1:14" ht="15.75">
      <c r="A166" s="2">
        <v>82</v>
      </c>
      <c r="B166" s="3" t="s">
        <v>64</v>
      </c>
      <c r="C166" s="2">
        <v>100</v>
      </c>
      <c r="D166" s="4">
        <v>0.4</v>
      </c>
      <c r="E166" s="4">
        <v>0.4</v>
      </c>
      <c r="F166" s="4">
        <v>9.8000000000000007</v>
      </c>
      <c r="G166" s="4">
        <v>44</v>
      </c>
      <c r="H166" s="4">
        <v>0.03</v>
      </c>
      <c r="I166" s="4">
        <v>7</v>
      </c>
      <c r="J166" s="4">
        <v>0</v>
      </c>
      <c r="K166" s="4">
        <v>16.100000000000001</v>
      </c>
      <c r="L166" s="4">
        <v>11</v>
      </c>
      <c r="M166" s="4">
        <v>9</v>
      </c>
      <c r="N166" s="4">
        <v>2.21</v>
      </c>
    </row>
    <row r="167" spans="1:14" ht="15.75">
      <c r="A167" s="5" t="s">
        <v>18</v>
      </c>
      <c r="B167" s="9" t="s">
        <v>75</v>
      </c>
      <c r="C167" s="9">
        <v>50</v>
      </c>
      <c r="D167" s="10">
        <v>4.7699999999999996</v>
      </c>
      <c r="E167" s="10">
        <v>8.86</v>
      </c>
      <c r="F167" s="10">
        <v>21.33</v>
      </c>
      <c r="G167" s="10">
        <v>384.5</v>
      </c>
      <c r="H167" s="10"/>
      <c r="I167" s="10"/>
      <c r="J167" s="10"/>
      <c r="K167" s="10"/>
      <c r="L167" s="10"/>
      <c r="M167" s="10"/>
      <c r="N167" s="10"/>
    </row>
    <row r="168" spans="1:14" ht="15.75">
      <c r="A168" s="9"/>
      <c r="B168" s="6" t="s">
        <v>21</v>
      </c>
      <c r="C168" s="11"/>
      <c r="D168" s="12">
        <f t="shared" ref="D168:N168" si="14">D161+D162+D163+D164+D165+D166+D167</f>
        <v>27.08</v>
      </c>
      <c r="E168" s="12">
        <f t="shared" si="14"/>
        <v>28.25</v>
      </c>
      <c r="F168" s="12">
        <f t="shared" si="14"/>
        <v>104.35</v>
      </c>
      <c r="G168" s="12">
        <f t="shared" si="14"/>
        <v>981</v>
      </c>
      <c r="H168" s="12">
        <f t="shared" si="14"/>
        <v>0.38</v>
      </c>
      <c r="I168" s="12">
        <f t="shared" si="14"/>
        <v>17.399999999999999</v>
      </c>
      <c r="J168" s="12">
        <f t="shared" si="14"/>
        <v>32.799999999999997</v>
      </c>
      <c r="K168" s="12">
        <f t="shared" si="14"/>
        <v>137</v>
      </c>
      <c r="L168" s="12">
        <f t="shared" si="14"/>
        <v>294.59999999999997</v>
      </c>
      <c r="M168" s="12">
        <f t="shared" si="14"/>
        <v>89.4</v>
      </c>
      <c r="N168" s="12">
        <f t="shared" si="14"/>
        <v>6.8289999999999997</v>
      </c>
    </row>
    <row r="169" spans="1:14" ht="15.75">
      <c r="A169" s="15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5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5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5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5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5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5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5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5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5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5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5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5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5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5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5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5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5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5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5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5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5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5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5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5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5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5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5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5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5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5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5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5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5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5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5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5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5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5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5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5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5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5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5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5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5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5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5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5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5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5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5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5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5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5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5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5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5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5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5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5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5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5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5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5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5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5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5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5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5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5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5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5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5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5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5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5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5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5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5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5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5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5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5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5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5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5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5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5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5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5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5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5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5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5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5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5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5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5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5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5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5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5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5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5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5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5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5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5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5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5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5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5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5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5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5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5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5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5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5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5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5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5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5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5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5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5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5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5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5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5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5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5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5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5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5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5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5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5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5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5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5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5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5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5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5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5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5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5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5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5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5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5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5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5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5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5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5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5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5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5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5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5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5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5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5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5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5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5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5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5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5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5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5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5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5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5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5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5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5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5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5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5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5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5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5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5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5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5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5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5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5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5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5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5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5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5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5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5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5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5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5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5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5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5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5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5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5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5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5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5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5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5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5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5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5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5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5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5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5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5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5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5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5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5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5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5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5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5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5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5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5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5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5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5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5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5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5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5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5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5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5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5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5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5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5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5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5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5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5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5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5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5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5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5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5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5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5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5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5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5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5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5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5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5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5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5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5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5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5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5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5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5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5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5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5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5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5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5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5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5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5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5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5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5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5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5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 ht="15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 ht="15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 ht="15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 ht="15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ht="15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 ht="15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 ht="15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ht="15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ht="15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ht="15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 ht="15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ht="15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 ht="15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ht="15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 ht="15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 ht="15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 ht="15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 ht="15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 ht="15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ht="15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 ht="15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 ht="15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 ht="15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 ht="15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15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ht="15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 ht="15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 ht="15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 ht="15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 ht="15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 ht="15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 ht="15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 ht="15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 ht="15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 ht="15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 ht="15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 ht="15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 ht="15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 ht="15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 ht="15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 ht="15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 ht="15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 ht="15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 ht="15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 ht="15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 ht="15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 ht="15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 ht="15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 ht="15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 ht="15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 ht="15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 ht="15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 ht="15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 ht="15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 ht="15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 ht="15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 ht="15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 ht="15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 ht="15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 ht="15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 ht="15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 ht="15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 ht="15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 ht="15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 ht="15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 ht="15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 ht="15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15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 ht="15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 ht="15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 ht="15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 ht="15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 ht="15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 ht="15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 ht="15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 ht="15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 ht="15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 ht="15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 ht="15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 ht="15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 ht="15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 ht="15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 ht="15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 ht="15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 ht="15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 ht="15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 ht="15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 ht="15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 ht="15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 ht="15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 ht="15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 ht="15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 ht="15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 ht="15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 ht="15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 ht="15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 ht="15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 ht="15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 ht="15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 ht="15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 ht="15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 ht="15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 ht="15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 ht="15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 ht="15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 ht="15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 ht="15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 ht="15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 ht="15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 ht="15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 ht="15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 ht="15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 ht="15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 ht="15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 ht="15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 ht="15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 ht="15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 ht="15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 ht="15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 ht="15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 ht="15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 ht="15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 ht="15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 ht="15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 ht="15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 ht="15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 ht="15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 ht="15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 ht="15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 ht="15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 ht="15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 ht="15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 ht="15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 ht="15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 ht="15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 ht="15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 ht="15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 ht="15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 ht="15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 ht="15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 ht="15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 ht="15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 ht="15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 ht="15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 ht="15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 ht="15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 ht="15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 ht="15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 ht="15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 ht="15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 ht="15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 ht="15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 ht="15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 ht="15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 ht="15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 ht="15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 ht="15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 ht="15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 ht="15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 ht="15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 ht="15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 ht="15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 ht="15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 ht="15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 ht="15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 ht="15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 ht="15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 ht="15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 ht="15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 ht="15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 ht="15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 ht="15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 ht="15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 ht="15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 ht="15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 ht="15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 ht="15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 ht="15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 ht="15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 ht="15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 ht="15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 ht="15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 ht="15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 ht="15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 ht="15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 ht="15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 ht="15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 ht="15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 ht="15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 ht="15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 ht="15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 ht="15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 ht="15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 ht="15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 ht="15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 ht="15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 ht="15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 ht="15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 ht="15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 ht="15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 ht="15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 ht="15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 ht="15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 ht="15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 ht="15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 ht="15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 ht="15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 ht="15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 ht="15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 ht="15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 ht="15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 ht="15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 ht="15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 ht="15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 ht="15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 ht="15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 ht="15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 ht="15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 ht="15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 ht="15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 ht="15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 ht="15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 ht="15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 ht="15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 ht="15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 ht="15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 ht="15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 ht="15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 ht="15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 ht="15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 ht="15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 ht="15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 ht="15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 ht="15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 ht="15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 ht="15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 ht="15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 ht="15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 ht="15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 ht="15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 ht="15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 ht="15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 ht="15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 ht="15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 ht="15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 ht="15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 ht="15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 ht="15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 ht="15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 ht="15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 ht="15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 ht="15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 ht="15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 ht="15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 ht="15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 ht="15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 ht="15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 ht="15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 ht="15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 ht="15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 ht="15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 ht="15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 ht="15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 ht="15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 ht="15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 ht="15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 ht="15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 ht="15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 ht="15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 ht="15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 ht="15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 ht="15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 ht="15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 ht="15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 ht="15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 ht="15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 ht="15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 ht="15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 ht="15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 ht="15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 ht="15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 ht="15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 ht="15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 ht="15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 ht="15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 ht="15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 ht="15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 ht="15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 ht="15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 ht="15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 ht="15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 ht="15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 ht="15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 ht="15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 ht="15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 ht="15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 ht="15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 ht="15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 ht="15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 ht="15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 ht="15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 ht="15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 ht="15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 ht="15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 ht="15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 ht="15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 ht="15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 ht="15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 ht="15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 ht="15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 ht="15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 ht="15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 ht="15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 ht="15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 ht="15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 ht="15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 ht="15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 ht="15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 ht="15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 ht="15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 ht="15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 ht="15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 ht="15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 ht="15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 ht="15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 ht="15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 ht="15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 ht="15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 ht="15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 ht="15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 ht="15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 ht="15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 ht="15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 ht="15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 ht="15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 ht="15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 ht="15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 ht="15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 ht="15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 ht="15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 ht="15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 ht="15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 ht="15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 ht="15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 ht="15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 ht="15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 ht="15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 ht="15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 ht="15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 ht="15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 ht="15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 ht="15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 ht="15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 ht="15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 ht="15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 ht="15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 ht="15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 ht="15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 ht="15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 ht="15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ht="15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 ht="15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 ht="15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 ht="15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 ht="15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 ht="15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 ht="15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 ht="15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 ht="15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 ht="15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 ht="15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 ht="15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 ht="15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 ht="15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 ht="15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 ht="15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 ht="15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 ht="15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 ht="15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 ht="15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 ht="15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 ht="15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 ht="15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 ht="15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 ht="15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 ht="15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 ht="15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 ht="15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 ht="15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 ht="15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 ht="15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 ht="15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 ht="15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 ht="15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 ht="15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 ht="15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 ht="15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 ht="15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 ht="15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 ht="15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 ht="15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 ht="15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 ht="15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 ht="15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 ht="15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 ht="15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 ht="15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 ht="15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 ht="15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 ht="15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 ht="15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 ht="15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 ht="15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 ht="15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 ht="15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1:14" ht="15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1:14" ht="15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1:14" ht="15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1:14" ht="15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1:14" ht="15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1:14" ht="15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1:14" ht="15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1:14" ht="15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1:14" ht="15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1:14" ht="15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1:14" ht="15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1:14" ht="15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1:14" ht="15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1:14" ht="15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1:14" ht="15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1:14" ht="15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1:14" ht="15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1:14" ht="15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1:14" ht="15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1:14" ht="15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1:14" ht="15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1:14" ht="15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1:14" ht="15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1:14" ht="15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1:14" ht="15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 ht="15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1:14" ht="15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1:14" ht="15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1:14" ht="15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1:14" ht="15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1:14" ht="15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1:14" ht="15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1:14" ht="15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1:14" ht="15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1:14" ht="15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1:14" ht="15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1:14" ht="15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1:14" ht="15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1:14" ht="15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1:14" ht="15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1:14" ht="15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1:14" ht="15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1:14" ht="15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1:14" ht="15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1:14" ht="15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1:14" ht="15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1:14" ht="15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1:14" ht="15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1:14" ht="15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1:14" ht="15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1:14" ht="15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1:14" ht="15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1:14" ht="15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1:14" ht="15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1:14" ht="15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1:14" ht="15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1:14" ht="15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1:14" ht="15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1:14" ht="15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1:14" ht="15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1:14" ht="15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1:14" ht="15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1:14" ht="15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1:14" ht="15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1:14" ht="15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1:14" ht="15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1:14" ht="15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1:14" ht="15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1:14" ht="15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1:14" ht="15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1:14" ht="15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1:14" ht="15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1:14" ht="15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1:14" ht="15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1:14" ht="15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1:14" ht="15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1:14" ht="15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1:14" ht="15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1:14" ht="15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1:14" ht="15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1:14" ht="15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1:14" ht="15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1:14" ht="15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1:14" ht="15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1:14" ht="15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1:14" ht="15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1:14" ht="15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1:14" ht="15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1:14" ht="15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1:14" ht="15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1:14" ht="15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1:14" ht="15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1:14" ht="15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1:14" ht="15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1:14" ht="15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1:14" ht="15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1:14" ht="15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1:14" ht="15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1:14" ht="15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1:14" ht="15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1:14" ht="15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1:14" ht="15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1:14" ht="15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1:14" ht="15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1:14" ht="15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1:14" ht="15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1:14" ht="15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1:14" ht="15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1:14" ht="15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1:14" ht="15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1:14" ht="15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1:14" ht="15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1:14" ht="15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1:14" ht="15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1:14" ht="15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1:14" ht="15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1:14" ht="15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1:14" ht="15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1:14" ht="15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1:14" ht="15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1:14" ht="15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1:14" ht="15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1:14" ht="15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1:14" ht="15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1:14" ht="15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1:14" ht="15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1:14" ht="15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1:14" ht="15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1:14" ht="15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1:14" ht="15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1:14" ht="15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1:14" ht="15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1:14" ht="15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1:14" ht="15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1:14" ht="15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1:14" ht="15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1:14" ht="15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1:14" ht="15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1:14" ht="15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1:14" ht="15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1:14" ht="15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1:14" ht="15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1:14" ht="15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1:14" ht="15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1:14" ht="15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1:14" ht="15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1:14" ht="15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1:14" ht="15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1:14" ht="15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1:14" ht="15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1:14" ht="15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1:14" ht="15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1:14" ht="15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1:14" ht="15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1:14" ht="15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1:14" ht="15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1:14" ht="15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1:14" ht="15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1:14" ht="15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1:14" ht="15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1:14" ht="15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1:14" ht="15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1:14" ht="15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1:14" ht="15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1:14" ht="15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1:14" ht="15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1:14" ht="15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1:14" ht="15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1:14" ht="15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1:14" ht="15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1:14" ht="15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1:14" ht="15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1:14" ht="15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1:14" ht="15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1:14" ht="15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1:14" ht="15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1:14" ht="15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1:14" ht="15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1:14" ht="15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1:14" ht="15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1:14" ht="15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1:14" ht="15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1:14" ht="15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1:14" ht="15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1:14" ht="15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1:14" ht="15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1:14" ht="15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1:14" ht="15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1:14" ht="15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1:14" ht="15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1:14" ht="15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1:14" ht="15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1:14" ht="15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1:14" ht="15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1:14" ht="15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1:14" ht="15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1:14" ht="15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1:14" ht="15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1:14" ht="15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1:14" ht="15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1:14" ht="15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1:14" ht="15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1:14" ht="15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1:14" ht="15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1:14" ht="15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1:14" ht="15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1:14" ht="15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1:14" ht="15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1:14" ht="15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1:14" ht="15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1:14" ht="15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1:14" ht="15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1:14" ht="15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1:14" ht="15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1:14" ht="15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1:14" ht="15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1:14" ht="15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1:14" ht="15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1:14" ht="15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1:14" ht="15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1:14" ht="15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1:14" ht="15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1:14" ht="15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1:14" ht="15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1:14" ht="15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1:14" ht="15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1:14" ht="15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1:14" ht="15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1:14" ht="15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1:14" ht="15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1:14" ht="15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1:14" ht="15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1:14" ht="15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1:14" ht="15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1:14" ht="15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1:14" ht="15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1:14" ht="15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1:14" ht="15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1:14" ht="15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1:14" ht="15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1:14" ht="15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1:14" ht="15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1:14" ht="15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1:14" ht="15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1:14" ht="15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1:14" ht="15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1:14" ht="15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1:14" ht="15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1:14" ht="15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1:14" ht="15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1:14" ht="15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1:14" ht="15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1:14" ht="15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1:14" ht="15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1:14" ht="15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1:14" ht="15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1:14" ht="15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1:14" ht="15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1:14" ht="15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1:14" ht="15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1:14" ht="15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1:14" ht="15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1:14" ht="15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1:14" ht="15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1:14" ht="15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1:14" ht="15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1:14" ht="15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1:14" ht="15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1:14" ht="15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1:14" ht="15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1:14" ht="15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1:14" ht="15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1:14" ht="15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1:14" ht="15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1:14" ht="15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1:14" ht="15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1:14" ht="15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1:14" ht="15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1:14" ht="15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1:14" ht="15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1:14" ht="15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1:14" ht="15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1:14" ht="15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1:14" ht="15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1:14" ht="15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1:14" ht="15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1:14" ht="15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1:14" ht="15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1:14" ht="15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1:14" ht="15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1:14" ht="15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1:14" ht="15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1:14" ht="15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1:14" ht="15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1:14" ht="15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1:14" ht="15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1:14" ht="15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1:14" ht="15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1:14" ht="15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1:14" ht="15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1:14" ht="15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1:14" ht="15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1:14" ht="15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1:14" ht="15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1:14" ht="15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1:14" ht="15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1:14" ht="15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1:14" ht="15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1:14" ht="15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1:14" ht="15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1:14" ht="15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1:14" ht="15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1:14" ht="15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1:14" ht="15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1:14" ht="15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1:14" ht="15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1:14" ht="15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1:14" ht="15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1:14" ht="15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1:14" ht="15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1:14" ht="15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1:14" ht="15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1:14" ht="15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1:14" ht="15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1:14" ht="15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1:14" ht="15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1:14" ht="15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1:14" ht="15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1:14" ht="15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</sheetData>
  <mergeCells count="47">
    <mergeCell ref="A27:N27"/>
    <mergeCell ref="A1:N1"/>
    <mergeCell ref="D2:F2"/>
    <mergeCell ref="H2:J2"/>
    <mergeCell ref="K2:N2"/>
    <mergeCell ref="A5:N5"/>
    <mergeCell ref="A6:N6"/>
    <mergeCell ref="A14:N14"/>
    <mergeCell ref="A15:N15"/>
    <mergeCell ref="A16:N16"/>
    <mergeCell ref="A60:N60"/>
    <mergeCell ref="A28:N28"/>
    <mergeCell ref="A29:N29"/>
    <mergeCell ref="A38:N38"/>
    <mergeCell ref="A39:N39"/>
    <mergeCell ref="A40:N40"/>
    <mergeCell ref="A49:N49"/>
    <mergeCell ref="A50:N50"/>
    <mergeCell ref="A51:N51"/>
    <mergeCell ref="A93:N93"/>
    <mergeCell ref="A61:N61"/>
    <mergeCell ref="A62:N62"/>
    <mergeCell ref="A71:N71"/>
    <mergeCell ref="A72:N72"/>
    <mergeCell ref="A73:N73"/>
    <mergeCell ref="A83:N83"/>
    <mergeCell ref="A84:N84"/>
    <mergeCell ref="A85:N85"/>
    <mergeCell ref="A106:N106"/>
    <mergeCell ref="A94:N94"/>
    <mergeCell ref="A95:N95"/>
    <mergeCell ref="A104:N104"/>
    <mergeCell ref="A105:N105"/>
    <mergeCell ref="A116:N116"/>
    <mergeCell ref="A117:N117"/>
    <mergeCell ref="A126:N126"/>
    <mergeCell ref="A127:N127"/>
    <mergeCell ref="A128:N128"/>
    <mergeCell ref="A149:N149"/>
    <mergeCell ref="A158:N158"/>
    <mergeCell ref="A159:N159"/>
    <mergeCell ref="A160:N160"/>
    <mergeCell ref="A137:N137"/>
    <mergeCell ref="A138:N138"/>
    <mergeCell ref="A139:N139"/>
    <mergeCell ref="A147:N147"/>
    <mergeCell ref="A148:N148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4" manualBreakCount="4">
    <brk id="37" max="13" man="1"/>
    <brk id="70" max="13" man="1"/>
    <brk id="103" max="13" man="1"/>
    <brk id="1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на 7-11 лет </vt:lpstr>
      <vt:lpstr>'Меню на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secretar</cp:lastModifiedBy>
  <cp:lastPrinted>2022-04-01T09:18:12Z</cp:lastPrinted>
  <dcterms:created xsi:type="dcterms:W3CDTF">2015-06-05T18:19:34Z</dcterms:created>
  <dcterms:modified xsi:type="dcterms:W3CDTF">2022-09-19T04:41:50Z</dcterms:modified>
</cp:coreProperties>
</file>